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\\corporativo\sgt\REAJUSTE\Permissionárias de Distribuição\2022\09- SETEMBRO\3  CERTREL - Ana\Estrutura\"/>
    </mc:Choice>
  </mc:AlternateContent>
  <xr:revisionPtr revIDLastSave="0" documentId="13_ncr:1_{6527149C-5447-4E69-8F49-A286C3F7FAA9}" xr6:coauthVersionLast="47" xr6:coauthVersionMax="47" xr10:uidLastSave="{00000000-0000-0000-0000-000000000000}"/>
  <bookViews>
    <workbookView xWindow="-108" yWindow="-108" windowWidth="23256" windowHeight="12576" firstSheet="17" activeTab="24" xr2:uid="{54FB675A-D382-411C-8569-A89C48677E17}"/>
  </bookViews>
  <sheets>
    <sheet name="Mercado_Receita" sheetId="1" r:id="rId1"/>
    <sheet name="EVENTOS" sheetId="2" r:id="rId2"/>
    <sheet name="TAR FIN" sheetId="21" r:id="rId3"/>
    <sheet name="MERCADO TUSD" sheetId="3" r:id="rId4"/>
    <sheet name="MERCADO TE" sheetId="4" r:id="rId5"/>
    <sheet name="CUSTOS" sheetId="5" r:id="rId6"/>
    <sheet name="TRANSICAO" sheetId="14" r:id="rId7"/>
    <sheet name="TR TUSD" sheetId="6" r:id="rId8"/>
    <sheet name="TUSD BE" sheetId="7" r:id="rId9"/>
    <sheet name="TUSD BF" sheetId="8" r:id="rId10"/>
    <sheet name="TUSD CVA" sheetId="9" r:id="rId11"/>
    <sheet name="TR TE" sheetId="10" r:id="rId12"/>
    <sheet name="TE BE" sheetId="11" r:id="rId13"/>
    <sheet name="TE BF" sheetId="12" r:id="rId14"/>
    <sheet name="TE CVA" sheetId="13" r:id="rId15"/>
    <sheet name="EFEITO" sheetId="22" r:id="rId16"/>
    <sheet name="SUBSIDIO" sheetId="23" r:id="rId17"/>
    <sheet name="TabDinEfeito" sheetId="24" r:id="rId18"/>
    <sheet name="TabDinSubsidio" sheetId="25" r:id="rId19"/>
    <sheet name="TABELAS REH" sheetId="27" r:id="rId20"/>
    <sheet name="Descontos" sheetId="20" r:id="rId21"/>
    <sheet name="ERD" sheetId="26" r:id="rId22"/>
    <sheet name="TA - Aplicação" sheetId="28" r:id="rId23"/>
    <sheet name="TA - BE" sheetId="29" r:id="rId24"/>
    <sheet name="TA - CVA" sheetId="30" r:id="rId25"/>
  </sheets>
  <definedNames>
    <definedName name="DadosExternos_1" localSheetId="22" hidden="1">'TA - Aplicação'!$B$3:$AT$49</definedName>
    <definedName name="DadosExternos_1" localSheetId="23" hidden="1">'TA - BE'!$B$3:$AT$49</definedName>
    <definedName name="DadosExternos_1" localSheetId="24" hidden="1">'TA - CVA'!$B$3:$AT$49</definedName>
  </definedNames>
  <calcPr calcId="191029"/>
  <pivotCaches>
    <pivotCache cacheId="25" r:id="rId26"/>
    <pivotCache cacheId="26" r:id="rId2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33" i="27" l="1"/>
  <c r="V32" i="27"/>
  <c r="V31" i="27"/>
  <c r="V30" i="27"/>
  <c r="V29" i="27"/>
  <c r="V28" i="27"/>
  <c r="V27" i="27"/>
  <c r="V26" i="27"/>
  <c r="V21" i="27"/>
  <c r="V16" i="27"/>
  <c r="V25" i="27"/>
  <c r="V20" i="27"/>
  <c r="V15" i="27"/>
  <c r="V24" i="27"/>
  <c r="V23" i="27"/>
  <c r="V22" i="27"/>
  <c r="V19" i="27"/>
  <c r="V18" i="27"/>
  <c r="V17" i="27"/>
  <c r="V14" i="27"/>
  <c r="V13" i="27"/>
  <c r="V12" i="27"/>
  <c r="V11" i="27"/>
  <c r="V9" i="27"/>
  <c r="V10" i="27"/>
  <c r="V8" i="27"/>
  <c r="V7" i="27"/>
  <c r="V6" i="27"/>
  <c r="V5" i="27"/>
  <c r="J11" i="27"/>
  <c r="J10" i="27"/>
  <c r="J6" i="27"/>
  <c r="J5" i="27"/>
  <c r="I3" i="26"/>
  <c r="I2" i="26" s="1"/>
  <c r="B2" i="26"/>
  <c r="C2" i="26"/>
  <c r="D2" i="26"/>
  <c r="E2" i="26"/>
  <c r="F2" i="26"/>
  <c r="G2" i="26"/>
  <c r="H2" i="26"/>
  <c r="J2" i="26"/>
  <c r="K2" i="26"/>
  <c r="L2" i="26"/>
  <c r="B11" i="26"/>
  <c r="P11" i="5" l="1"/>
  <c r="R11" i="5" s="1"/>
  <c r="P10" i="5"/>
  <c r="R10" i="5" s="1"/>
  <c r="P9" i="5"/>
  <c r="F44" i="5"/>
  <c r="E44" i="5"/>
  <c r="D44" i="5"/>
  <c r="F26" i="5"/>
  <c r="E26" i="5"/>
  <c r="D26" i="5"/>
  <c r="F25" i="5"/>
  <c r="E25" i="5"/>
  <c r="D25" i="5"/>
  <c r="F24" i="5"/>
  <c r="E24" i="5"/>
  <c r="D24" i="5"/>
  <c r="D13" i="5"/>
  <c r="F39" i="5"/>
  <c r="F17" i="5"/>
  <c r="F16" i="5"/>
  <c r="F12" i="5"/>
  <c r="F11" i="5"/>
  <c r="M15" i="5"/>
  <c r="M7" i="5"/>
  <c r="D36" i="5" s="1"/>
  <c r="R9" i="5" l="1"/>
  <c r="D30" i="5"/>
  <c r="E36" i="5"/>
  <c r="F36" i="5"/>
  <c r="E28" i="5"/>
  <c r="X340" i="22"/>
  <c r="W340" i="22"/>
  <c r="X339" i="22"/>
  <c r="W339" i="22"/>
  <c r="X338" i="22"/>
  <c r="W338" i="22"/>
  <c r="X337" i="22"/>
  <c r="W337" i="22"/>
  <c r="X336" i="22"/>
  <c r="W336" i="22"/>
  <c r="X335" i="22"/>
  <c r="W335" i="22"/>
  <c r="X334" i="22"/>
  <c r="W334" i="22"/>
  <c r="X333" i="22"/>
  <c r="W333" i="22"/>
  <c r="X332" i="22"/>
  <c r="W332" i="22"/>
  <c r="X331" i="22"/>
  <c r="W331" i="22"/>
  <c r="X330" i="22"/>
  <c r="W330" i="22"/>
  <c r="X329" i="22"/>
  <c r="W329" i="22"/>
  <c r="AD134" i="23"/>
  <c r="X134" i="23"/>
  <c r="W134" i="23"/>
  <c r="AD133" i="23"/>
  <c r="X133" i="23"/>
  <c r="W133" i="23"/>
  <c r="AD132" i="23"/>
  <c r="X132" i="23"/>
  <c r="W132" i="23"/>
  <c r="AD131" i="23"/>
  <c r="X131" i="23"/>
  <c r="W131" i="23"/>
  <c r="AD130" i="23"/>
  <c r="X130" i="23"/>
  <c r="W130" i="23"/>
  <c r="AD129" i="23"/>
  <c r="X129" i="23"/>
  <c r="W129" i="23"/>
  <c r="AD128" i="23"/>
  <c r="X128" i="23"/>
  <c r="W128" i="23"/>
  <c r="AD127" i="23"/>
  <c r="X127" i="23"/>
  <c r="W127" i="23"/>
  <c r="AD126" i="23"/>
  <c r="X126" i="23"/>
  <c r="W126" i="23"/>
  <c r="AD125" i="23"/>
  <c r="X125" i="23"/>
  <c r="W125" i="23"/>
  <c r="AD124" i="23"/>
  <c r="X124" i="23"/>
  <c r="W124" i="23"/>
  <c r="AD123" i="23"/>
  <c r="X123" i="23"/>
  <c r="W123" i="23"/>
  <c r="X107" i="22"/>
  <c r="W107" i="22"/>
  <c r="X106" i="22"/>
  <c r="W106" i="22"/>
  <c r="X105" i="22"/>
  <c r="W105" i="22"/>
  <c r="X104" i="22"/>
  <c r="W104" i="22"/>
  <c r="X103" i="22"/>
  <c r="W103" i="22"/>
  <c r="X102" i="22"/>
  <c r="W102" i="22"/>
  <c r="X101" i="22"/>
  <c r="W101" i="22"/>
  <c r="X100" i="22"/>
  <c r="W100" i="22"/>
  <c r="X99" i="22"/>
  <c r="W99" i="22"/>
  <c r="X98" i="22"/>
  <c r="W98" i="22"/>
  <c r="V97" i="22"/>
  <c r="V96" i="22"/>
  <c r="V95" i="22"/>
  <c r="V94" i="22"/>
  <c r="V93" i="22"/>
  <c r="V92" i="22"/>
  <c r="V91" i="22"/>
  <c r="V90" i="22"/>
  <c r="V89" i="22"/>
  <c r="V88" i="22"/>
  <c r="X87" i="22"/>
  <c r="W87" i="22"/>
  <c r="X86" i="22"/>
  <c r="W86" i="22"/>
  <c r="X85" i="22"/>
  <c r="W85" i="22"/>
  <c r="X84" i="22"/>
  <c r="W84" i="22"/>
  <c r="X83" i="22"/>
  <c r="W83" i="22"/>
  <c r="X82" i="22"/>
  <c r="W82" i="22"/>
  <c r="X81" i="22"/>
  <c r="W81" i="22"/>
  <c r="X80" i="22"/>
  <c r="W80" i="22"/>
  <c r="X79" i="22"/>
  <c r="W79" i="22"/>
  <c r="X78" i="22"/>
  <c r="W78" i="22"/>
  <c r="X77" i="22"/>
  <c r="W77" i="22"/>
  <c r="X76" i="22"/>
  <c r="W76" i="22"/>
  <c r="V75" i="22"/>
  <c r="V74" i="22"/>
  <c r="X73" i="22"/>
  <c r="W73" i="22"/>
  <c r="X72" i="22"/>
  <c r="W72" i="22"/>
  <c r="AD41" i="23"/>
  <c r="X41" i="23"/>
  <c r="W41" i="23"/>
  <c r="AD40" i="23"/>
  <c r="X40" i="23"/>
  <c r="W40" i="23"/>
  <c r="AD39" i="23"/>
  <c r="X39" i="23"/>
  <c r="W39" i="23"/>
  <c r="AD38" i="23"/>
  <c r="X38" i="23"/>
  <c r="W38" i="23"/>
  <c r="AD37" i="23"/>
  <c r="X37" i="23"/>
  <c r="W37" i="23"/>
  <c r="AD36" i="23"/>
  <c r="X36" i="23"/>
  <c r="W36" i="23"/>
  <c r="AD35" i="23"/>
  <c r="X35" i="23"/>
  <c r="W35" i="23"/>
  <c r="AD34" i="23"/>
  <c r="X34" i="23"/>
  <c r="W34" i="23"/>
  <c r="AD33" i="23"/>
  <c r="X33" i="23"/>
  <c r="W33" i="23"/>
  <c r="AD32" i="23"/>
  <c r="X32" i="23"/>
  <c r="W32" i="23"/>
  <c r="AE31" i="23"/>
  <c r="V31" i="23"/>
  <c r="AB31" i="23" s="1"/>
  <c r="AE30" i="23"/>
  <c r="V30" i="23"/>
  <c r="AB30" i="23" s="1"/>
  <c r="AE29" i="23"/>
  <c r="V29" i="23"/>
  <c r="AB29" i="23" s="1"/>
  <c r="AE28" i="23"/>
  <c r="V28" i="23"/>
  <c r="AB28" i="23" s="1"/>
  <c r="AE27" i="23"/>
  <c r="V27" i="23"/>
  <c r="AB27" i="23" s="1"/>
  <c r="AE26" i="23"/>
  <c r="V26" i="23"/>
  <c r="AB26" i="23" s="1"/>
  <c r="AE25" i="23"/>
  <c r="V25" i="23"/>
  <c r="AB25" i="23" s="1"/>
  <c r="AE24" i="23"/>
  <c r="V24" i="23"/>
  <c r="AB24" i="23" s="1"/>
  <c r="AE23" i="23"/>
  <c r="V23" i="23"/>
  <c r="AB23" i="23" s="1"/>
  <c r="AE22" i="23"/>
  <c r="V22" i="23"/>
  <c r="AB22" i="23" s="1"/>
  <c r="AD21" i="23"/>
  <c r="X21" i="23"/>
  <c r="W21" i="23"/>
  <c r="AD20" i="23"/>
  <c r="X20" i="23"/>
  <c r="W20" i="23"/>
  <c r="AD19" i="23"/>
  <c r="X19" i="23"/>
  <c r="W19" i="23"/>
  <c r="AD18" i="23"/>
  <c r="X18" i="23"/>
  <c r="W18" i="23"/>
  <c r="AD17" i="23"/>
  <c r="X17" i="23"/>
  <c r="W17" i="23"/>
  <c r="AD16" i="23"/>
  <c r="X16" i="23"/>
  <c r="W16" i="23"/>
  <c r="AD15" i="23"/>
  <c r="X15" i="23"/>
  <c r="W15" i="23"/>
  <c r="AD14" i="23"/>
  <c r="X14" i="23"/>
  <c r="W14" i="23"/>
  <c r="AD13" i="23"/>
  <c r="X13" i="23"/>
  <c r="W13" i="23"/>
  <c r="AD12" i="23"/>
  <c r="X12" i="23"/>
  <c r="W12" i="23"/>
  <c r="AD11" i="23"/>
  <c r="X11" i="23"/>
  <c r="W11" i="23"/>
  <c r="AD10" i="23"/>
  <c r="X10" i="23"/>
  <c r="W10" i="23"/>
  <c r="AE9" i="23"/>
  <c r="AB9" i="23"/>
  <c r="V9" i="23"/>
  <c r="AE8" i="23"/>
  <c r="V8" i="23"/>
  <c r="AB8" i="23" s="1"/>
  <c r="AD7" i="23"/>
  <c r="X7" i="23"/>
  <c r="W7" i="23"/>
  <c r="AD6" i="23"/>
  <c r="X6" i="23"/>
  <c r="W6" i="23"/>
  <c r="X5" i="23"/>
  <c r="W5" i="23"/>
  <c r="AC5" i="23" s="1"/>
  <c r="V5" i="23"/>
  <c r="AB5" i="23" s="1"/>
  <c r="X5" i="22"/>
  <c r="W5" i="22"/>
  <c r="V5" i="22"/>
  <c r="X4" i="23"/>
  <c r="W4" i="23"/>
  <c r="V4" i="23"/>
  <c r="AB4" i="23" s="1"/>
  <c r="X4" i="22"/>
  <c r="W4" i="22"/>
  <c r="V4" i="22"/>
  <c r="X3" i="23"/>
  <c r="W3" i="23"/>
  <c r="V3" i="23"/>
  <c r="AB3" i="23" s="1"/>
  <c r="X3" i="22"/>
  <c r="W3" i="22"/>
  <c r="V3" i="22"/>
  <c r="X2" i="23"/>
  <c r="W2" i="23"/>
  <c r="AC2" i="23" s="1"/>
  <c r="V2" i="23"/>
  <c r="AB2" i="23" s="1"/>
  <c r="X2" i="22"/>
  <c r="W2" i="22"/>
  <c r="V2" i="22"/>
  <c r="M40" i="5"/>
  <c r="M39" i="5"/>
  <c r="M38" i="5"/>
  <c r="AJ9" i="23"/>
  <c r="AI9" i="23"/>
  <c r="AJ7" i="23"/>
  <c r="AI7" i="23"/>
  <c r="AJ4" i="23"/>
  <c r="AI4" i="23"/>
  <c r="AJ3" i="23"/>
  <c r="AI3" i="23"/>
  <c r="AJ2" i="23"/>
  <c r="AI2" i="23"/>
  <c r="AD122" i="23"/>
  <c r="AD121" i="23"/>
  <c r="AD120" i="23"/>
  <c r="AD119" i="23"/>
  <c r="AD118" i="23"/>
  <c r="AD117" i="23"/>
  <c r="AD116" i="23"/>
  <c r="AD115" i="23"/>
  <c r="AD114" i="23"/>
  <c r="AD113" i="23"/>
  <c r="AD112" i="23"/>
  <c r="AD111" i="23"/>
  <c r="AD110" i="23"/>
  <c r="AD109" i="23"/>
  <c r="AD108" i="23"/>
  <c r="AD107" i="23"/>
  <c r="AD106" i="23"/>
  <c r="AD105" i="23"/>
  <c r="AD104" i="23"/>
  <c r="AD103" i="23"/>
  <c r="AD102" i="23"/>
  <c r="AD101" i="23"/>
  <c r="AD100" i="23"/>
  <c r="AD99" i="23"/>
  <c r="AD98" i="23"/>
  <c r="AD97" i="23"/>
  <c r="AD96" i="23"/>
  <c r="AD95" i="23"/>
  <c r="AD94" i="23"/>
  <c r="AD93" i="23"/>
  <c r="AD92" i="23"/>
  <c r="AD91" i="23"/>
  <c r="AD90" i="23"/>
  <c r="AD89" i="23"/>
  <c r="AD88" i="23"/>
  <c r="AD87" i="23"/>
  <c r="AD86" i="23"/>
  <c r="AD85" i="23"/>
  <c r="AD84" i="23"/>
  <c r="AD83" i="23"/>
  <c r="AD82" i="23"/>
  <c r="AD81" i="23"/>
  <c r="AD80" i="23"/>
  <c r="AD79" i="23"/>
  <c r="AD78" i="23"/>
  <c r="AD77" i="23"/>
  <c r="AD76" i="23"/>
  <c r="AD75" i="23"/>
  <c r="AD74" i="23"/>
  <c r="AD73" i="23"/>
  <c r="AD72" i="23"/>
  <c r="AD71" i="23"/>
  <c r="AD70" i="23"/>
  <c r="AD69" i="23"/>
  <c r="AD68" i="23"/>
  <c r="AD67" i="23"/>
  <c r="AD66" i="23"/>
  <c r="AD65" i="23"/>
  <c r="AD64" i="23"/>
  <c r="AD63" i="23"/>
  <c r="AD62" i="23"/>
  <c r="AD61" i="23"/>
  <c r="AD60" i="23"/>
  <c r="AD59" i="23"/>
  <c r="AD58" i="23"/>
  <c r="AD57" i="23"/>
  <c r="AD56" i="23"/>
  <c r="AD55" i="23"/>
  <c r="AD54" i="23"/>
  <c r="AD53" i="23"/>
  <c r="AD52" i="23"/>
  <c r="AD51" i="23"/>
  <c r="AD50" i="23"/>
  <c r="AD49" i="23"/>
  <c r="AD48" i="23"/>
  <c r="AD47" i="23"/>
  <c r="AD46" i="23"/>
  <c r="AD45" i="23"/>
  <c r="AD44" i="23"/>
  <c r="AD43" i="23"/>
  <c r="AD42" i="23"/>
  <c r="V134" i="23"/>
  <c r="AB134" i="23" s="1"/>
  <c r="V133" i="23"/>
  <c r="AB133" i="23" s="1"/>
  <c r="V132" i="23"/>
  <c r="AB132" i="23" s="1"/>
  <c r="V131" i="23"/>
  <c r="AB131" i="23" s="1"/>
  <c r="V130" i="23"/>
  <c r="AB130" i="23" s="1"/>
  <c r="V129" i="23"/>
  <c r="AB129" i="23" s="1"/>
  <c r="V128" i="23"/>
  <c r="AB128" i="23" s="1"/>
  <c r="V127" i="23"/>
  <c r="AB127" i="23" s="1"/>
  <c r="V126" i="23"/>
  <c r="AB126" i="23" s="1"/>
  <c r="V125" i="23"/>
  <c r="AB125" i="23" s="1"/>
  <c r="V124" i="23"/>
  <c r="AB124" i="23" s="1"/>
  <c r="V123" i="23"/>
  <c r="AB123" i="23" s="1"/>
  <c r="X122" i="23"/>
  <c r="W122" i="23"/>
  <c r="V122" i="23"/>
  <c r="AB122" i="23" s="1"/>
  <c r="X121" i="23"/>
  <c r="W121" i="23"/>
  <c r="V121" i="23"/>
  <c r="AB121" i="23" s="1"/>
  <c r="X120" i="23"/>
  <c r="W120" i="23"/>
  <c r="V120" i="23"/>
  <c r="AB120" i="23" s="1"/>
  <c r="X119" i="23"/>
  <c r="W119" i="23"/>
  <c r="V119" i="23"/>
  <c r="AB119" i="23" s="1"/>
  <c r="X118" i="23"/>
  <c r="W118" i="23"/>
  <c r="V118" i="23"/>
  <c r="AB118" i="23" s="1"/>
  <c r="X117" i="23"/>
  <c r="W117" i="23"/>
  <c r="V117" i="23"/>
  <c r="AB117" i="23" s="1"/>
  <c r="X116" i="23"/>
  <c r="W116" i="23"/>
  <c r="V116" i="23"/>
  <c r="AB116" i="23" s="1"/>
  <c r="X115" i="23"/>
  <c r="W115" i="23"/>
  <c r="V115" i="23"/>
  <c r="AB115" i="23" s="1"/>
  <c r="X114" i="23"/>
  <c r="W114" i="23"/>
  <c r="V114" i="23"/>
  <c r="AB114" i="23" s="1"/>
  <c r="X113" i="23"/>
  <c r="W113" i="23"/>
  <c r="V113" i="23"/>
  <c r="AB113" i="23" s="1"/>
  <c r="X112" i="23"/>
  <c r="W112" i="23"/>
  <c r="V112" i="23"/>
  <c r="AB112" i="23" s="1"/>
  <c r="X111" i="23"/>
  <c r="W111" i="23"/>
  <c r="V111" i="23"/>
  <c r="AB111" i="23" s="1"/>
  <c r="X110" i="23"/>
  <c r="W110" i="23"/>
  <c r="V110" i="23"/>
  <c r="AB110" i="23" s="1"/>
  <c r="X109" i="23"/>
  <c r="W109" i="23"/>
  <c r="V109" i="23"/>
  <c r="AB109" i="23" s="1"/>
  <c r="X108" i="23"/>
  <c r="W108" i="23"/>
  <c r="V108" i="23"/>
  <c r="AB108" i="23" s="1"/>
  <c r="X107" i="23"/>
  <c r="W107" i="23"/>
  <c r="V107" i="23"/>
  <c r="AB107" i="23" s="1"/>
  <c r="X106" i="23"/>
  <c r="W106" i="23"/>
  <c r="V106" i="23"/>
  <c r="AB106" i="23" s="1"/>
  <c r="X105" i="23"/>
  <c r="W105" i="23"/>
  <c r="V105" i="23"/>
  <c r="AB105" i="23" s="1"/>
  <c r="X104" i="23"/>
  <c r="W104" i="23"/>
  <c r="V104" i="23"/>
  <c r="AB104" i="23" s="1"/>
  <c r="X103" i="23"/>
  <c r="W103" i="23"/>
  <c r="V103" i="23"/>
  <c r="AB103" i="23" s="1"/>
  <c r="X102" i="23"/>
  <c r="W102" i="23"/>
  <c r="V102" i="23"/>
  <c r="AB102" i="23" s="1"/>
  <c r="X101" i="23"/>
  <c r="W101" i="23"/>
  <c r="V101" i="23"/>
  <c r="AB101" i="23" s="1"/>
  <c r="X100" i="23"/>
  <c r="W100" i="23"/>
  <c r="V100" i="23"/>
  <c r="AB100" i="23" s="1"/>
  <c r="X99" i="23"/>
  <c r="W99" i="23"/>
  <c r="V99" i="23"/>
  <c r="AB99" i="23" s="1"/>
  <c r="X98" i="23"/>
  <c r="W98" i="23"/>
  <c r="V98" i="23"/>
  <c r="AB98" i="23" s="1"/>
  <c r="X97" i="23"/>
  <c r="W97" i="23"/>
  <c r="V97" i="23"/>
  <c r="AB97" i="23" s="1"/>
  <c r="X96" i="23"/>
  <c r="W96" i="23"/>
  <c r="V96" i="23"/>
  <c r="AB96" i="23" s="1"/>
  <c r="X95" i="23"/>
  <c r="W95" i="23"/>
  <c r="V95" i="23"/>
  <c r="AB95" i="23" s="1"/>
  <c r="X94" i="23"/>
  <c r="W94" i="23"/>
  <c r="V94" i="23"/>
  <c r="AB94" i="23" s="1"/>
  <c r="X93" i="23"/>
  <c r="W93" i="23"/>
  <c r="V93" i="23"/>
  <c r="AB93" i="23" s="1"/>
  <c r="X92" i="23"/>
  <c r="W92" i="23"/>
  <c r="V92" i="23"/>
  <c r="AB92" i="23" s="1"/>
  <c r="X91" i="23"/>
  <c r="W91" i="23"/>
  <c r="V91" i="23"/>
  <c r="AB91" i="23" s="1"/>
  <c r="X90" i="23"/>
  <c r="W90" i="23"/>
  <c r="V90" i="23"/>
  <c r="AB90" i="23" s="1"/>
  <c r="X89" i="23"/>
  <c r="W89" i="23"/>
  <c r="V89" i="23"/>
  <c r="AB89" i="23" s="1"/>
  <c r="X88" i="23"/>
  <c r="W88" i="23"/>
  <c r="V88" i="23"/>
  <c r="AB88" i="23" s="1"/>
  <c r="X87" i="23"/>
  <c r="W87" i="23"/>
  <c r="V87" i="23"/>
  <c r="AB87" i="23" s="1"/>
  <c r="X86" i="23"/>
  <c r="W86" i="23"/>
  <c r="AC86" i="23" s="1"/>
  <c r="V86" i="23"/>
  <c r="AB86" i="23" s="1"/>
  <c r="X85" i="23"/>
  <c r="W85" i="23"/>
  <c r="V85" i="23"/>
  <c r="AB85" i="23" s="1"/>
  <c r="X84" i="23"/>
  <c r="W84" i="23"/>
  <c r="AC84" i="23" s="1"/>
  <c r="V84" i="23"/>
  <c r="AB84" i="23" s="1"/>
  <c r="X83" i="23"/>
  <c r="W83" i="23"/>
  <c r="V83" i="23"/>
  <c r="AB83" i="23" s="1"/>
  <c r="X82" i="23"/>
  <c r="W82" i="23"/>
  <c r="AC82" i="23" s="1"/>
  <c r="V82" i="23"/>
  <c r="AB82" i="23" s="1"/>
  <c r="X81" i="23"/>
  <c r="W81" i="23"/>
  <c r="V81" i="23"/>
  <c r="AB81" i="23" s="1"/>
  <c r="X80" i="23"/>
  <c r="W80" i="23"/>
  <c r="V80" i="23"/>
  <c r="AB80" i="23" s="1"/>
  <c r="X79" i="23"/>
  <c r="W79" i="23"/>
  <c r="V79" i="23"/>
  <c r="AB79" i="23" s="1"/>
  <c r="X78" i="23"/>
  <c r="W78" i="23"/>
  <c r="AC78" i="23" s="1"/>
  <c r="V78" i="23"/>
  <c r="AB78" i="23" s="1"/>
  <c r="X77" i="23"/>
  <c r="W77" i="23"/>
  <c r="V77" i="23"/>
  <c r="AB77" i="23" s="1"/>
  <c r="X76" i="23"/>
  <c r="W76" i="23"/>
  <c r="V76" i="23"/>
  <c r="AB76" i="23" s="1"/>
  <c r="X75" i="23"/>
  <c r="W75" i="23"/>
  <c r="V75" i="23"/>
  <c r="AB75" i="23" s="1"/>
  <c r="X74" i="23"/>
  <c r="W74" i="23"/>
  <c r="V74" i="23"/>
  <c r="AB74" i="23" s="1"/>
  <c r="X73" i="23"/>
  <c r="W73" i="23"/>
  <c r="V73" i="23"/>
  <c r="AB73" i="23" s="1"/>
  <c r="X72" i="23"/>
  <c r="W72" i="23"/>
  <c r="V72" i="23"/>
  <c r="AB72" i="23" s="1"/>
  <c r="X71" i="23"/>
  <c r="W71" i="23"/>
  <c r="V71" i="23"/>
  <c r="AB71" i="23" s="1"/>
  <c r="X70" i="23"/>
  <c r="W70" i="23"/>
  <c r="AC70" i="23" s="1"/>
  <c r="V70" i="23"/>
  <c r="AB70" i="23" s="1"/>
  <c r="X69" i="23"/>
  <c r="W69" i="23"/>
  <c r="V69" i="23"/>
  <c r="AB69" i="23" s="1"/>
  <c r="X68" i="23"/>
  <c r="W68" i="23"/>
  <c r="V68" i="23"/>
  <c r="AB68" i="23" s="1"/>
  <c r="X67" i="23"/>
  <c r="W67" i="23"/>
  <c r="V67" i="23"/>
  <c r="AB67" i="23" s="1"/>
  <c r="X66" i="23"/>
  <c r="W66" i="23"/>
  <c r="V66" i="23"/>
  <c r="AB66" i="23" s="1"/>
  <c r="X65" i="23"/>
  <c r="W65" i="23"/>
  <c r="V65" i="23"/>
  <c r="AB65" i="23" s="1"/>
  <c r="X64" i="23"/>
  <c r="W64" i="23"/>
  <c r="V64" i="23"/>
  <c r="AB64" i="23" s="1"/>
  <c r="X63" i="23"/>
  <c r="W63" i="23"/>
  <c r="V63" i="23"/>
  <c r="AB63" i="23" s="1"/>
  <c r="X62" i="23"/>
  <c r="W62" i="23"/>
  <c r="V62" i="23"/>
  <c r="AB62" i="23" s="1"/>
  <c r="X61" i="23"/>
  <c r="W61" i="23"/>
  <c r="V61" i="23"/>
  <c r="AB61" i="23" s="1"/>
  <c r="X60" i="23"/>
  <c r="W60" i="23"/>
  <c r="V60" i="23"/>
  <c r="AB60" i="23" s="1"/>
  <c r="X59" i="23"/>
  <c r="W59" i="23"/>
  <c r="V59" i="23"/>
  <c r="AB59" i="23" s="1"/>
  <c r="X58" i="23"/>
  <c r="W58" i="23"/>
  <c r="V58" i="23"/>
  <c r="AB58" i="23" s="1"/>
  <c r="X57" i="23"/>
  <c r="W57" i="23"/>
  <c r="V57" i="23"/>
  <c r="AB57" i="23" s="1"/>
  <c r="X56" i="23"/>
  <c r="W56" i="23"/>
  <c r="V56" i="23"/>
  <c r="AB56" i="23" s="1"/>
  <c r="X55" i="23"/>
  <c r="W55" i="23"/>
  <c r="V55" i="23"/>
  <c r="AB55" i="23" s="1"/>
  <c r="X54" i="23"/>
  <c r="W54" i="23"/>
  <c r="AC54" i="23" s="1"/>
  <c r="V54" i="23"/>
  <c r="AB54" i="23" s="1"/>
  <c r="X53" i="23"/>
  <c r="W53" i="23"/>
  <c r="V53" i="23"/>
  <c r="AB53" i="23" s="1"/>
  <c r="X52" i="23"/>
  <c r="W52" i="23"/>
  <c r="V52" i="23"/>
  <c r="AB52" i="23" s="1"/>
  <c r="X51" i="23"/>
  <c r="W51" i="23"/>
  <c r="V51" i="23"/>
  <c r="AB51" i="23" s="1"/>
  <c r="X50" i="23"/>
  <c r="W50" i="23"/>
  <c r="V50" i="23"/>
  <c r="AB50" i="23" s="1"/>
  <c r="X49" i="23"/>
  <c r="W49" i="23"/>
  <c r="V49" i="23"/>
  <c r="AB49" i="23" s="1"/>
  <c r="X48" i="23"/>
  <c r="W48" i="23"/>
  <c r="V48" i="23"/>
  <c r="AB48" i="23" s="1"/>
  <c r="X47" i="23"/>
  <c r="W47" i="23"/>
  <c r="V47" i="23"/>
  <c r="AB47" i="23" s="1"/>
  <c r="X46" i="23"/>
  <c r="W46" i="23"/>
  <c r="AC46" i="23" s="1"/>
  <c r="V46" i="23"/>
  <c r="AB46" i="23" s="1"/>
  <c r="X45" i="23"/>
  <c r="W45" i="23"/>
  <c r="V45" i="23"/>
  <c r="AB45" i="23" s="1"/>
  <c r="X44" i="23"/>
  <c r="W44" i="23"/>
  <c r="V44" i="23"/>
  <c r="AB44" i="23" s="1"/>
  <c r="X43" i="23"/>
  <c r="W43" i="23"/>
  <c r="V43" i="23"/>
  <c r="AB43" i="23" s="1"/>
  <c r="X42" i="23"/>
  <c r="W42" i="23"/>
  <c r="AC115" i="23" s="1"/>
  <c r="V42" i="23"/>
  <c r="AB42" i="23" s="1"/>
  <c r="V41" i="23"/>
  <c r="AB41" i="23" s="1"/>
  <c r="V40" i="23"/>
  <c r="AB40" i="23" s="1"/>
  <c r="V39" i="23"/>
  <c r="AB39" i="23" s="1"/>
  <c r="V38" i="23"/>
  <c r="AB38" i="23" s="1"/>
  <c r="V37" i="23"/>
  <c r="AB37" i="23" s="1"/>
  <c r="V36" i="23"/>
  <c r="AB36" i="23" s="1"/>
  <c r="V35" i="23"/>
  <c r="AB35" i="23" s="1"/>
  <c r="V34" i="23"/>
  <c r="AB34" i="23" s="1"/>
  <c r="V33" i="23"/>
  <c r="AB33" i="23" s="1"/>
  <c r="V32" i="23"/>
  <c r="AB32" i="23" s="1"/>
  <c r="X31" i="23"/>
  <c r="W31" i="23"/>
  <c r="AC31" i="23" s="1"/>
  <c r="X30" i="23"/>
  <c r="W30" i="23"/>
  <c r="AC30" i="23" s="1"/>
  <c r="X29" i="23"/>
  <c r="W29" i="23"/>
  <c r="AC29" i="23" s="1"/>
  <c r="X28" i="23"/>
  <c r="W28" i="23"/>
  <c r="AC28" i="23" s="1"/>
  <c r="X27" i="23"/>
  <c r="W27" i="23"/>
  <c r="AC27" i="23" s="1"/>
  <c r="X26" i="23"/>
  <c r="W26" i="23"/>
  <c r="AC26" i="23" s="1"/>
  <c r="X25" i="23"/>
  <c r="W25" i="23"/>
  <c r="AC25" i="23" s="1"/>
  <c r="X24" i="23"/>
  <c r="W24" i="23"/>
  <c r="AC24" i="23" s="1"/>
  <c r="X23" i="23"/>
  <c r="W23" i="23"/>
  <c r="AC23" i="23" s="1"/>
  <c r="X22" i="23"/>
  <c r="W22" i="23"/>
  <c r="AC22" i="23" s="1"/>
  <c r="V21" i="23"/>
  <c r="AB21" i="23" s="1"/>
  <c r="V20" i="23"/>
  <c r="AB20" i="23" s="1"/>
  <c r="V19" i="23"/>
  <c r="AB19" i="23" s="1"/>
  <c r="V18" i="23"/>
  <c r="AB18" i="23" s="1"/>
  <c r="V17" i="23"/>
  <c r="AB17" i="23" s="1"/>
  <c r="V16" i="23"/>
  <c r="AB16" i="23" s="1"/>
  <c r="V15" i="23"/>
  <c r="AB15" i="23" s="1"/>
  <c r="V14" i="23"/>
  <c r="AB14" i="23" s="1"/>
  <c r="V13" i="23"/>
  <c r="AB13" i="23" s="1"/>
  <c r="V12" i="23"/>
  <c r="AB12" i="23" s="1"/>
  <c r="V11" i="23"/>
  <c r="AB11" i="23" s="1"/>
  <c r="V10" i="23"/>
  <c r="AB10" i="23" s="1"/>
  <c r="X9" i="23"/>
  <c r="W9" i="23"/>
  <c r="AC9" i="23" s="1"/>
  <c r="X8" i="23"/>
  <c r="W8" i="23"/>
  <c r="AC8" i="23" s="1"/>
  <c r="V7" i="23"/>
  <c r="AB7" i="23" s="1"/>
  <c r="V6" i="23"/>
  <c r="AB6" i="23" s="1"/>
  <c r="AE352" i="22"/>
  <c r="AE351" i="22"/>
  <c r="AE350" i="22"/>
  <c r="AE349" i="22"/>
  <c r="AE348" i="22"/>
  <c r="AE347" i="22"/>
  <c r="AE346" i="22"/>
  <c r="AE345" i="22"/>
  <c r="AE344" i="22"/>
  <c r="AE343" i="22"/>
  <c r="AE342" i="22"/>
  <c r="AE341" i="22"/>
  <c r="AE340" i="22"/>
  <c r="AD340" i="22"/>
  <c r="AC340" i="22"/>
  <c r="AE339" i="22"/>
  <c r="AD339" i="22"/>
  <c r="AC339" i="22"/>
  <c r="AE338" i="22"/>
  <c r="AD338" i="22"/>
  <c r="AC338" i="22"/>
  <c r="AE337" i="22"/>
  <c r="AD337" i="22"/>
  <c r="AC337" i="22"/>
  <c r="AE336" i="22"/>
  <c r="AD336" i="22"/>
  <c r="AC336" i="22"/>
  <c r="AE335" i="22"/>
  <c r="AD335" i="22"/>
  <c r="AC335" i="22"/>
  <c r="AE334" i="22"/>
  <c r="AD334" i="22"/>
  <c r="AC334" i="22"/>
  <c r="AE333" i="22"/>
  <c r="AD333" i="22"/>
  <c r="AC333" i="22"/>
  <c r="AE332" i="22"/>
  <c r="AD332" i="22"/>
  <c r="AC332" i="22"/>
  <c r="AE331" i="22"/>
  <c r="AD331" i="22"/>
  <c r="AC331" i="22"/>
  <c r="AE330" i="22"/>
  <c r="AD330" i="22"/>
  <c r="AC330" i="22"/>
  <c r="AE329" i="22"/>
  <c r="AD329" i="22"/>
  <c r="AC329" i="22"/>
  <c r="AE328" i="22"/>
  <c r="AE327" i="22"/>
  <c r="AE326" i="22"/>
  <c r="AE325" i="22"/>
  <c r="AE324" i="22"/>
  <c r="AE323" i="22"/>
  <c r="AE322" i="22"/>
  <c r="AE321" i="22"/>
  <c r="AE320" i="22"/>
  <c r="AE319" i="22"/>
  <c r="AE318" i="22"/>
  <c r="AE317" i="22"/>
  <c r="AE316" i="22"/>
  <c r="AE315" i="22"/>
  <c r="AE314" i="22"/>
  <c r="AE313" i="22"/>
  <c r="AE312" i="22"/>
  <c r="AE311" i="22"/>
  <c r="AE310" i="22"/>
  <c r="AE309" i="22"/>
  <c r="AE308" i="22"/>
  <c r="AE307" i="22"/>
  <c r="AE306" i="22"/>
  <c r="AE305" i="22"/>
  <c r="AE304" i="22"/>
  <c r="AE303" i="22"/>
  <c r="AE302" i="22"/>
  <c r="AE301" i="22"/>
  <c r="AE300" i="22"/>
  <c r="AE299" i="22"/>
  <c r="AE298" i="22"/>
  <c r="AE297" i="22"/>
  <c r="AE296" i="22"/>
  <c r="AE295" i="22"/>
  <c r="AE294" i="22"/>
  <c r="AE293" i="22"/>
  <c r="AE292" i="22"/>
  <c r="AE291" i="22"/>
  <c r="AE290" i="22"/>
  <c r="AE289" i="22"/>
  <c r="AE288" i="22"/>
  <c r="AE287" i="22"/>
  <c r="AE286" i="22"/>
  <c r="AE285" i="22"/>
  <c r="AE284" i="22"/>
  <c r="AE283" i="22"/>
  <c r="AE282" i="22"/>
  <c r="AE281" i="22"/>
  <c r="AE280" i="22"/>
  <c r="AE279" i="22"/>
  <c r="AE278" i="22"/>
  <c r="AE277" i="22"/>
  <c r="AE276" i="22"/>
  <c r="AE275" i="22"/>
  <c r="AE274" i="22"/>
  <c r="AE273" i="22"/>
  <c r="AE272" i="22"/>
  <c r="AE271" i="22"/>
  <c r="AE270" i="22"/>
  <c r="AE269" i="22"/>
  <c r="AE268" i="22"/>
  <c r="AE267" i="22"/>
  <c r="AE266" i="22"/>
  <c r="AE265" i="22"/>
  <c r="AE264" i="22"/>
  <c r="AE263" i="22"/>
  <c r="AE262" i="22"/>
  <c r="AE261" i="22"/>
  <c r="AE260" i="22"/>
  <c r="AE259" i="22"/>
  <c r="AE258" i="22"/>
  <c r="AE257" i="22"/>
  <c r="AE256" i="22"/>
  <c r="AE255" i="22"/>
  <c r="AE254" i="22"/>
  <c r="AE253" i="22"/>
  <c r="AE252" i="22"/>
  <c r="AE251" i="22"/>
  <c r="AE250" i="22"/>
  <c r="AE249" i="22"/>
  <c r="AE248" i="22"/>
  <c r="AE247" i="22"/>
  <c r="AE246" i="22"/>
  <c r="AE245" i="22"/>
  <c r="AE244" i="22"/>
  <c r="AE243" i="22"/>
  <c r="AE242" i="22"/>
  <c r="AE241" i="22"/>
  <c r="AE240" i="22"/>
  <c r="AE239" i="22"/>
  <c r="AE238" i="22"/>
  <c r="AE237" i="22"/>
  <c r="AE236" i="22"/>
  <c r="AE235" i="22"/>
  <c r="AE234" i="22"/>
  <c r="AE233" i="22"/>
  <c r="AE232" i="22"/>
  <c r="AE231" i="22"/>
  <c r="AE230" i="22"/>
  <c r="AE229" i="22"/>
  <c r="AE228" i="22"/>
  <c r="AE227" i="22"/>
  <c r="AE226" i="22"/>
  <c r="AE225" i="22"/>
  <c r="AE224" i="22"/>
  <c r="AE223" i="22"/>
  <c r="AE222" i="22"/>
  <c r="AE221" i="22"/>
  <c r="AE220" i="22"/>
  <c r="AE219" i="22"/>
  <c r="AE218" i="22"/>
  <c r="AE217" i="22"/>
  <c r="AE216" i="22"/>
  <c r="AE215" i="22"/>
  <c r="AE214" i="22"/>
  <c r="AE213" i="22"/>
  <c r="AE212" i="22"/>
  <c r="AE211" i="22"/>
  <c r="AE210" i="22"/>
  <c r="AE209" i="22"/>
  <c r="AE208" i="22"/>
  <c r="AE207" i="22"/>
  <c r="AE206" i="22"/>
  <c r="AE205" i="22"/>
  <c r="AE204" i="22"/>
  <c r="AE203" i="22"/>
  <c r="AE202" i="22"/>
  <c r="AE201" i="22"/>
  <c r="AE200" i="22"/>
  <c r="AE199" i="22"/>
  <c r="AE198" i="22"/>
  <c r="AE197" i="22"/>
  <c r="AE196" i="22"/>
  <c r="AE195" i="22"/>
  <c r="AE194" i="22"/>
  <c r="AE193" i="22"/>
  <c r="AE192" i="22"/>
  <c r="AE191" i="22"/>
  <c r="AE190" i="22"/>
  <c r="AE189" i="22"/>
  <c r="AE188" i="22"/>
  <c r="AE187" i="22"/>
  <c r="AE186" i="22"/>
  <c r="AE185" i="22"/>
  <c r="AE184" i="22"/>
  <c r="AE183" i="22"/>
  <c r="AE182" i="22"/>
  <c r="AE181" i="22"/>
  <c r="AE180" i="22"/>
  <c r="AE179" i="22"/>
  <c r="AE178" i="22"/>
  <c r="AE177" i="22"/>
  <c r="AE176" i="22"/>
  <c r="AE175" i="22"/>
  <c r="AE174" i="22"/>
  <c r="AE173" i="22"/>
  <c r="AE172" i="22"/>
  <c r="AE171" i="22"/>
  <c r="AE170" i="22"/>
  <c r="AE169" i="22"/>
  <c r="AE168" i="22"/>
  <c r="AE167" i="22"/>
  <c r="AE166" i="22"/>
  <c r="AE165" i="22"/>
  <c r="AE164" i="22"/>
  <c r="AE163" i="22"/>
  <c r="AE162" i="22"/>
  <c r="AE161" i="22"/>
  <c r="AE160" i="22"/>
  <c r="AE159" i="22"/>
  <c r="AE158" i="22"/>
  <c r="AE157" i="22"/>
  <c r="AE156" i="22"/>
  <c r="AE155" i="22"/>
  <c r="AE154" i="22"/>
  <c r="AE153" i="22"/>
  <c r="AE152" i="22"/>
  <c r="AE151" i="22"/>
  <c r="AE150" i="22"/>
  <c r="AE149" i="22"/>
  <c r="AE148" i="22"/>
  <c r="AE147" i="22"/>
  <c r="AE146" i="22"/>
  <c r="AE145" i="22"/>
  <c r="AE144" i="22"/>
  <c r="AE143" i="22"/>
  <c r="AE142" i="22"/>
  <c r="AE141" i="22"/>
  <c r="AE140" i="22"/>
  <c r="AE139" i="22"/>
  <c r="AE138" i="22"/>
  <c r="AE137" i="22"/>
  <c r="AE136" i="22"/>
  <c r="AE135" i="22"/>
  <c r="AE134" i="22"/>
  <c r="AE133" i="22"/>
  <c r="AE132" i="22"/>
  <c r="AE131" i="22"/>
  <c r="AE130" i="22"/>
  <c r="AE129" i="22"/>
  <c r="AE128" i="22"/>
  <c r="AE127" i="22"/>
  <c r="AE126" i="22"/>
  <c r="AE125" i="22"/>
  <c r="AE124" i="22"/>
  <c r="AE123" i="22"/>
  <c r="AE122" i="22"/>
  <c r="AE121" i="22"/>
  <c r="AE120" i="22"/>
  <c r="AE119" i="22"/>
  <c r="AE118" i="22"/>
  <c r="AE117" i="22"/>
  <c r="AE116" i="22"/>
  <c r="AE115" i="22"/>
  <c r="AE114" i="22"/>
  <c r="AE113" i="22"/>
  <c r="AE112" i="22"/>
  <c r="AE111" i="22"/>
  <c r="AE110" i="22"/>
  <c r="AE109" i="22"/>
  <c r="AE108" i="22"/>
  <c r="AE107" i="22"/>
  <c r="AD107" i="22"/>
  <c r="AC107" i="22"/>
  <c r="AE106" i="22"/>
  <c r="AD106" i="22"/>
  <c r="AC106" i="22"/>
  <c r="AE105" i="22"/>
  <c r="AD105" i="22"/>
  <c r="AC105" i="22"/>
  <c r="AE104" i="22"/>
  <c r="AD104" i="22"/>
  <c r="AC104" i="22"/>
  <c r="AE103" i="22"/>
  <c r="AD103" i="22"/>
  <c r="AC103" i="22"/>
  <c r="AE102" i="22"/>
  <c r="AD102" i="22"/>
  <c r="AC102" i="22"/>
  <c r="AE101" i="22"/>
  <c r="AD101" i="22"/>
  <c r="AC101" i="22"/>
  <c r="AE100" i="22"/>
  <c r="AD100" i="22"/>
  <c r="AC100" i="22"/>
  <c r="AE99" i="22"/>
  <c r="AD99" i="22"/>
  <c r="AC99" i="22"/>
  <c r="AE98" i="22"/>
  <c r="AD98" i="22"/>
  <c r="AC98" i="22"/>
  <c r="AG97" i="22"/>
  <c r="AF97" i="22"/>
  <c r="AB97" i="22"/>
  <c r="AG96" i="22"/>
  <c r="AF96" i="22"/>
  <c r="AB96" i="22"/>
  <c r="AG95" i="22"/>
  <c r="AF95" i="22"/>
  <c r="AB95" i="22"/>
  <c r="AG94" i="22"/>
  <c r="AF94" i="22"/>
  <c r="AB94" i="22"/>
  <c r="AG93" i="22"/>
  <c r="AF93" i="22"/>
  <c r="AB93" i="22"/>
  <c r="AG92" i="22"/>
  <c r="AF92" i="22"/>
  <c r="AB92" i="22"/>
  <c r="AG91" i="22"/>
  <c r="AF91" i="22"/>
  <c r="AB91" i="22"/>
  <c r="AG90" i="22"/>
  <c r="AF90" i="22"/>
  <c r="AB90" i="22"/>
  <c r="AG89" i="22"/>
  <c r="AF89" i="22"/>
  <c r="AB89" i="22"/>
  <c r="AG88" i="22"/>
  <c r="AF88" i="22"/>
  <c r="AB88" i="22"/>
  <c r="AE87" i="22"/>
  <c r="AD87" i="22"/>
  <c r="AC87" i="22"/>
  <c r="AE86" i="22"/>
  <c r="AD86" i="22"/>
  <c r="AC86" i="22"/>
  <c r="AE85" i="22"/>
  <c r="AD85" i="22"/>
  <c r="AC85" i="22"/>
  <c r="AE84" i="22"/>
  <c r="AD84" i="22"/>
  <c r="AC84" i="22"/>
  <c r="AE83" i="22"/>
  <c r="AD83" i="22"/>
  <c r="AC83" i="22"/>
  <c r="AE82" i="22"/>
  <c r="AD82" i="22"/>
  <c r="AC82" i="22"/>
  <c r="AE81" i="22"/>
  <c r="AD81" i="22"/>
  <c r="AC81" i="22"/>
  <c r="AE80" i="22"/>
  <c r="AD80" i="22"/>
  <c r="AC80" i="22"/>
  <c r="AE79" i="22"/>
  <c r="AD79" i="22"/>
  <c r="AC79" i="22"/>
  <c r="AE78" i="22"/>
  <c r="AD78" i="22"/>
  <c r="AC78" i="22"/>
  <c r="AE77" i="22"/>
  <c r="AD77" i="22"/>
  <c r="AC77" i="22"/>
  <c r="AE76" i="22"/>
  <c r="AD76" i="22"/>
  <c r="AC76" i="22"/>
  <c r="AG75" i="22"/>
  <c r="AF75" i="22"/>
  <c r="AB75" i="22"/>
  <c r="AG74" i="22"/>
  <c r="AF74" i="22"/>
  <c r="AB74" i="22"/>
  <c r="AE73" i="22"/>
  <c r="AD73" i="22"/>
  <c r="AC73" i="22"/>
  <c r="AE72" i="22"/>
  <c r="AD72" i="22"/>
  <c r="AC72" i="22"/>
  <c r="AE71" i="22"/>
  <c r="AE70" i="22"/>
  <c r="AE69" i="22"/>
  <c r="AE68" i="22"/>
  <c r="AE67" i="22"/>
  <c r="AE66" i="22"/>
  <c r="AE65" i="22"/>
  <c r="AE64" i="22"/>
  <c r="AE63" i="22"/>
  <c r="AE62" i="22"/>
  <c r="AE61" i="22"/>
  <c r="AE60" i="22"/>
  <c r="AE59" i="22"/>
  <c r="AE58" i="22"/>
  <c r="AE57" i="22"/>
  <c r="AE56" i="22"/>
  <c r="AE55" i="22"/>
  <c r="AE54" i="22"/>
  <c r="AE53" i="22"/>
  <c r="AE52" i="22"/>
  <c r="AE51" i="22"/>
  <c r="AE50" i="22"/>
  <c r="AG49" i="22"/>
  <c r="AF49" i="22"/>
  <c r="AG48" i="22"/>
  <c r="AF48" i="22"/>
  <c r="AG47" i="22"/>
  <c r="AF47" i="22"/>
  <c r="AG46" i="22"/>
  <c r="AF46" i="22"/>
  <c r="AG45" i="22"/>
  <c r="AF45" i="22"/>
  <c r="AG44" i="22"/>
  <c r="AF44" i="22"/>
  <c r="AG43" i="22"/>
  <c r="AF43" i="22"/>
  <c r="AG42" i="22"/>
  <c r="AF42" i="22"/>
  <c r="AG41" i="22"/>
  <c r="AF41" i="22"/>
  <c r="AG40" i="22"/>
  <c r="AF40" i="22"/>
  <c r="AG39" i="22"/>
  <c r="AF39" i="22"/>
  <c r="AG38" i="22"/>
  <c r="AF38" i="22"/>
  <c r="AG37" i="22"/>
  <c r="AF37" i="22"/>
  <c r="AG36" i="22"/>
  <c r="AF36" i="22"/>
  <c r="AG35" i="22"/>
  <c r="AF35" i="22"/>
  <c r="AG34" i="22"/>
  <c r="AF34" i="22"/>
  <c r="AG33" i="22"/>
  <c r="AF33" i="22"/>
  <c r="AG32" i="22"/>
  <c r="AF32" i="22"/>
  <c r="AG31" i="22"/>
  <c r="AF31" i="22"/>
  <c r="AG30" i="22"/>
  <c r="AF30" i="22"/>
  <c r="AG29" i="22"/>
  <c r="AF29" i="22"/>
  <c r="AG28" i="22"/>
  <c r="AF28" i="22"/>
  <c r="AE27" i="22"/>
  <c r="AE26" i="22"/>
  <c r="AE25" i="22"/>
  <c r="AE24" i="22"/>
  <c r="AE23" i="22"/>
  <c r="AE22" i="22"/>
  <c r="AE21" i="22"/>
  <c r="AE20" i="22"/>
  <c r="AE19" i="22"/>
  <c r="AE18" i="22"/>
  <c r="AE17" i="22"/>
  <c r="AE16" i="22"/>
  <c r="AE15" i="22"/>
  <c r="AE14" i="22"/>
  <c r="AE13" i="22"/>
  <c r="AE12" i="22"/>
  <c r="AE11" i="22"/>
  <c r="AE10" i="22"/>
  <c r="AE9" i="22"/>
  <c r="AE8" i="22"/>
  <c r="AE7" i="22"/>
  <c r="AE6" i="22"/>
  <c r="AD5" i="22"/>
  <c r="AC5" i="22"/>
  <c r="AB5" i="22"/>
  <c r="AD4" i="22"/>
  <c r="AC4" i="22"/>
  <c r="AB4" i="22"/>
  <c r="AD3" i="22"/>
  <c r="AC3" i="22"/>
  <c r="AB3" i="22"/>
  <c r="AD2" i="22"/>
  <c r="AC2" i="22"/>
  <c r="AB2" i="22"/>
  <c r="X352" i="22"/>
  <c r="AD352" i="22" s="1"/>
  <c r="W352" i="22"/>
  <c r="AC352" i="22" s="1"/>
  <c r="V352" i="22"/>
  <c r="AB352" i="22" s="1"/>
  <c r="X351" i="22"/>
  <c r="AD351" i="22" s="1"/>
  <c r="W351" i="22"/>
  <c r="AC351" i="22" s="1"/>
  <c r="V351" i="22"/>
  <c r="AB351" i="22" s="1"/>
  <c r="X350" i="22"/>
  <c r="AD350" i="22" s="1"/>
  <c r="W350" i="22"/>
  <c r="AC350" i="22" s="1"/>
  <c r="V350" i="22"/>
  <c r="AB350" i="22" s="1"/>
  <c r="X349" i="22"/>
  <c r="AD349" i="22" s="1"/>
  <c r="W349" i="22"/>
  <c r="AC349" i="22" s="1"/>
  <c r="V349" i="22"/>
  <c r="AB349" i="22" s="1"/>
  <c r="X348" i="22"/>
  <c r="AD348" i="22" s="1"/>
  <c r="W348" i="22"/>
  <c r="AC348" i="22" s="1"/>
  <c r="V348" i="22"/>
  <c r="AB348" i="22" s="1"/>
  <c r="X347" i="22"/>
  <c r="AD347" i="22" s="1"/>
  <c r="W347" i="22"/>
  <c r="AC347" i="22" s="1"/>
  <c r="V347" i="22"/>
  <c r="AB347" i="22" s="1"/>
  <c r="X346" i="22"/>
  <c r="AD346" i="22" s="1"/>
  <c r="W346" i="22"/>
  <c r="AC346" i="22" s="1"/>
  <c r="V346" i="22"/>
  <c r="AB346" i="22" s="1"/>
  <c r="X345" i="22"/>
  <c r="AD345" i="22" s="1"/>
  <c r="W345" i="22"/>
  <c r="AC345" i="22" s="1"/>
  <c r="V345" i="22"/>
  <c r="AB345" i="22" s="1"/>
  <c r="X344" i="22"/>
  <c r="AD344" i="22" s="1"/>
  <c r="W344" i="22"/>
  <c r="AC344" i="22" s="1"/>
  <c r="V344" i="22"/>
  <c r="AB344" i="22" s="1"/>
  <c r="X343" i="22"/>
  <c r="AD343" i="22" s="1"/>
  <c r="W343" i="22"/>
  <c r="AC343" i="22" s="1"/>
  <c r="V343" i="22"/>
  <c r="AB343" i="22" s="1"/>
  <c r="X342" i="22"/>
  <c r="AD342" i="22" s="1"/>
  <c r="W342" i="22"/>
  <c r="AC342" i="22" s="1"/>
  <c r="V342" i="22"/>
  <c r="AB342" i="22" s="1"/>
  <c r="X341" i="22"/>
  <c r="AD341" i="22" s="1"/>
  <c r="AO6" i="22" s="1"/>
  <c r="W341" i="22"/>
  <c r="AC341" i="22" s="1"/>
  <c r="V341" i="22"/>
  <c r="AB341" i="22" s="1"/>
  <c r="V340" i="22"/>
  <c r="AB340" i="22" s="1"/>
  <c r="V339" i="22"/>
  <c r="AB339" i="22" s="1"/>
  <c r="V338" i="22"/>
  <c r="AB338" i="22" s="1"/>
  <c r="V337" i="22"/>
  <c r="AB337" i="22" s="1"/>
  <c r="V336" i="22"/>
  <c r="AB336" i="22" s="1"/>
  <c r="V335" i="22"/>
  <c r="AB335" i="22" s="1"/>
  <c r="V334" i="22"/>
  <c r="AB334" i="22" s="1"/>
  <c r="V333" i="22"/>
  <c r="AB333" i="22" s="1"/>
  <c r="V332" i="22"/>
  <c r="AB332" i="22" s="1"/>
  <c r="V331" i="22"/>
  <c r="AB331" i="22" s="1"/>
  <c r="V330" i="22"/>
  <c r="AB330" i="22" s="1"/>
  <c r="V329" i="22"/>
  <c r="AB329" i="22" s="1"/>
  <c r="X328" i="22"/>
  <c r="AD328" i="22" s="1"/>
  <c r="W328" i="22"/>
  <c r="AC328" i="22" s="1"/>
  <c r="V328" i="22"/>
  <c r="AB328" i="22" s="1"/>
  <c r="X327" i="22"/>
  <c r="AD327" i="22" s="1"/>
  <c r="W327" i="22"/>
  <c r="AC327" i="22" s="1"/>
  <c r="V327" i="22"/>
  <c r="AB327" i="22" s="1"/>
  <c r="X326" i="22"/>
  <c r="AD326" i="22" s="1"/>
  <c r="W326" i="22"/>
  <c r="AC326" i="22" s="1"/>
  <c r="V326" i="22"/>
  <c r="AB326" i="22" s="1"/>
  <c r="X325" i="22"/>
  <c r="AD325" i="22" s="1"/>
  <c r="W325" i="22"/>
  <c r="AC325" i="22" s="1"/>
  <c r="V325" i="22"/>
  <c r="AB325" i="22" s="1"/>
  <c r="X324" i="22"/>
  <c r="AD324" i="22" s="1"/>
  <c r="W324" i="22"/>
  <c r="AC324" i="22" s="1"/>
  <c r="V324" i="22"/>
  <c r="AB324" i="22" s="1"/>
  <c r="X323" i="22"/>
  <c r="AD323" i="22" s="1"/>
  <c r="W323" i="22"/>
  <c r="AC323" i="22" s="1"/>
  <c r="V323" i="22"/>
  <c r="AB323" i="22" s="1"/>
  <c r="X322" i="22"/>
  <c r="AD322" i="22" s="1"/>
  <c r="W322" i="22"/>
  <c r="AC322" i="22" s="1"/>
  <c r="V322" i="22"/>
  <c r="AB322" i="22" s="1"/>
  <c r="X321" i="22"/>
  <c r="AD321" i="22" s="1"/>
  <c r="W321" i="22"/>
  <c r="AC321" i="22" s="1"/>
  <c r="V321" i="22"/>
  <c r="AB321" i="22" s="1"/>
  <c r="X320" i="22"/>
  <c r="AD320" i="22" s="1"/>
  <c r="W320" i="22"/>
  <c r="AC320" i="22" s="1"/>
  <c r="V320" i="22"/>
  <c r="AB320" i="22" s="1"/>
  <c r="X319" i="22"/>
  <c r="AD319" i="22" s="1"/>
  <c r="W319" i="22"/>
  <c r="AC319" i="22" s="1"/>
  <c r="V319" i="22"/>
  <c r="AB319" i="22" s="1"/>
  <c r="X318" i="22"/>
  <c r="AD318" i="22" s="1"/>
  <c r="W318" i="22"/>
  <c r="AC318" i="22" s="1"/>
  <c r="V318" i="22"/>
  <c r="AB318" i="22" s="1"/>
  <c r="X317" i="22"/>
  <c r="AD317" i="22" s="1"/>
  <c r="W317" i="22"/>
  <c r="AC317" i="22" s="1"/>
  <c r="V317" i="22"/>
  <c r="AB317" i="22" s="1"/>
  <c r="X316" i="22"/>
  <c r="AD316" i="22" s="1"/>
  <c r="W316" i="22"/>
  <c r="AC316" i="22" s="1"/>
  <c r="V316" i="22"/>
  <c r="AB316" i="22" s="1"/>
  <c r="X315" i="22"/>
  <c r="AD315" i="22" s="1"/>
  <c r="W315" i="22"/>
  <c r="AC315" i="22" s="1"/>
  <c r="V315" i="22"/>
  <c r="AB315" i="22" s="1"/>
  <c r="X314" i="22"/>
  <c r="AD314" i="22" s="1"/>
  <c r="W314" i="22"/>
  <c r="AC314" i="22" s="1"/>
  <c r="V314" i="22"/>
  <c r="AB314" i="22" s="1"/>
  <c r="X313" i="22"/>
  <c r="AD313" i="22" s="1"/>
  <c r="W313" i="22"/>
  <c r="AC313" i="22" s="1"/>
  <c r="V313" i="22"/>
  <c r="AB313" i="22" s="1"/>
  <c r="X312" i="22"/>
  <c r="AD312" i="22" s="1"/>
  <c r="W312" i="22"/>
  <c r="AC312" i="22" s="1"/>
  <c r="V312" i="22"/>
  <c r="AB312" i="22" s="1"/>
  <c r="X311" i="22"/>
  <c r="AD311" i="22" s="1"/>
  <c r="W311" i="22"/>
  <c r="AC311" i="22" s="1"/>
  <c r="V311" i="22"/>
  <c r="AB311" i="22" s="1"/>
  <c r="X310" i="22"/>
  <c r="AD310" i="22" s="1"/>
  <c r="W310" i="22"/>
  <c r="AC310" i="22" s="1"/>
  <c r="V310" i="22"/>
  <c r="AB310" i="22" s="1"/>
  <c r="X309" i="22"/>
  <c r="AD309" i="22" s="1"/>
  <c r="W309" i="22"/>
  <c r="AC309" i="22" s="1"/>
  <c r="V309" i="22"/>
  <c r="AB309" i="22" s="1"/>
  <c r="X308" i="22"/>
  <c r="AD308" i="22" s="1"/>
  <c r="W308" i="22"/>
  <c r="AC308" i="22" s="1"/>
  <c r="V308" i="22"/>
  <c r="AB308" i="22" s="1"/>
  <c r="X307" i="22"/>
  <c r="AD307" i="22" s="1"/>
  <c r="W307" i="22"/>
  <c r="AC307" i="22" s="1"/>
  <c r="V307" i="22"/>
  <c r="AB307" i="22" s="1"/>
  <c r="X306" i="22"/>
  <c r="AD306" i="22" s="1"/>
  <c r="W306" i="22"/>
  <c r="AC306" i="22" s="1"/>
  <c r="V306" i="22"/>
  <c r="AB306" i="22" s="1"/>
  <c r="X305" i="22"/>
  <c r="AD305" i="22" s="1"/>
  <c r="W305" i="22"/>
  <c r="AC305" i="22" s="1"/>
  <c r="V305" i="22"/>
  <c r="AB305" i="22" s="1"/>
  <c r="X304" i="22"/>
  <c r="AD304" i="22" s="1"/>
  <c r="W304" i="22"/>
  <c r="AC304" i="22" s="1"/>
  <c r="V304" i="22"/>
  <c r="AB304" i="22" s="1"/>
  <c r="X303" i="22"/>
  <c r="AD303" i="22" s="1"/>
  <c r="W303" i="22"/>
  <c r="AC303" i="22" s="1"/>
  <c r="V303" i="22"/>
  <c r="AB303" i="22" s="1"/>
  <c r="X302" i="22"/>
  <c r="AD302" i="22" s="1"/>
  <c r="W302" i="22"/>
  <c r="AC302" i="22" s="1"/>
  <c r="V302" i="22"/>
  <c r="AB302" i="22" s="1"/>
  <c r="X301" i="22"/>
  <c r="AD301" i="22" s="1"/>
  <c r="W301" i="22"/>
  <c r="AC301" i="22" s="1"/>
  <c r="V301" i="22"/>
  <c r="AB301" i="22" s="1"/>
  <c r="X300" i="22"/>
  <c r="AD300" i="22" s="1"/>
  <c r="W300" i="22"/>
  <c r="AC300" i="22" s="1"/>
  <c r="V300" i="22"/>
  <c r="AB300" i="22" s="1"/>
  <c r="X299" i="22"/>
  <c r="AD299" i="22" s="1"/>
  <c r="W299" i="22"/>
  <c r="AC299" i="22" s="1"/>
  <c r="V299" i="22"/>
  <c r="AB299" i="22" s="1"/>
  <c r="X298" i="22"/>
  <c r="AD298" i="22" s="1"/>
  <c r="W298" i="22"/>
  <c r="AC298" i="22" s="1"/>
  <c r="V298" i="22"/>
  <c r="AB298" i="22" s="1"/>
  <c r="X297" i="22"/>
  <c r="AD297" i="22" s="1"/>
  <c r="W297" i="22"/>
  <c r="AC297" i="22" s="1"/>
  <c r="V297" i="22"/>
  <c r="AB297" i="22" s="1"/>
  <c r="X296" i="22"/>
  <c r="AD296" i="22" s="1"/>
  <c r="W296" i="22"/>
  <c r="AC296" i="22" s="1"/>
  <c r="V296" i="22"/>
  <c r="AB296" i="22" s="1"/>
  <c r="X295" i="22"/>
  <c r="AD295" i="22" s="1"/>
  <c r="W295" i="22"/>
  <c r="AC295" i="22" s="1"/>
  <c r="V295" i="22"/>
  <c r="AB295" i="22" s="1"/>
  <c r="X294" i="22"/>
  <c r="AD294" i="22" s="1"/>
  <c r="W294" i="22"/>
  <c r="AC294" i="22" s="1"/>
  <c r="V294" i="22"/>
  <c r="AB294" i="22" s="1"/>
  <c r="X293" i="22"/>
  <c r="AD293" i="22" s="1"/>
  <c r="W293" i="22"/>
  <c r="AC293" i="22" s="1"/>
  <c r="V293" i="22"/>
  <c r="AB293" i="22" s="1"/>
  <c r="X292" i="22"/>
  <c r="AD292" i="22" s="1"/>
  <c r="W292" i="22"/>
  <c r="AC292" i="22" s="1"/>
  <c r="V292" i="22"/>
  <c r="AB292" i="22" s="1"/>
  <c r="X291" i="22"/>
  <c r="AD291" i="22" s="1"/>
  <c r="W291" i="22"/>
  <c r="AC291" i="22" s="1"/>
  <c r="V291" i="22"/>
  <c r="AB291" i="22" s="1"/>
  <c r="X290" i="22"/>
  <c r="AD290" i="22" s="1"/>
  <c r="W290" i="22"/>
  <c r="AC290" i="22" s="1"/>
  <c r="V290" i="22"/>
  <c r="AB290" i="22" s="1"/>
  <c r="X289" i="22"/>
  <c r="AD289" i="22" s="1"/>
  <c r="W289" i="22"/>
  <c r="AC289" i="22" s="1"/>
  <c r="V289" i="22"/>
  <c r="AB289" i="22" s="1"/>
  <c r="X288" i="22"/>
  <c r="AD288" i="22" s="1"/>
  <c r="W288" i="22"/>
  <c r="AC288" i="22" s="1"/>
  <c r="V288" i="22"/>
  <c r="AB288" i="22" s="1"/>
  <c r="X287" i="22"/>
  <c r="AD287" i="22" s="1"/>
  <c r="W287" i="22"/>
  <c r="AC287" i="22" s="1"/>
  <c r="V287" i="22"/>
  <c r="AB287" i="22" s="1"/>
  <c r="X286" i="22"/>
  <c r="AD286" i="22" s="1"/>
  <c r="W286" i="22"/>
  <c r="AC286" i="22" s="1"/>
  <c r="V286" i="22"/>
  <c r="AB286" i="22" s="1"/>
  <c r="X285" i="22"/>
  <c r="AD285" i="22" s="1"/>
  <c r="W285" i="22"/>
  <c r="AC285" i="22" s="1"/>
  <c r="V285" i="22"/>
  <c r="AB285" i="22" s="1"/>
  <c r="X284" i="22"/>
  <c r="AD284" i="22" s="1"/>
  <c r="W284" i="22"/>
  <c r="AC284" i="22" s="1"/>
  <c r="V284" i="22"/>
  <c r="AB284" i="22" s="1"/>
  <c r="X283" i="22"/>
  <c r="AD283" i="22" s="1"/>
  <c r="W283" i="22"/>
  <c r="AC283" i="22" s="1"/>
  <c r="V283" i="22"/>
  <c r="AB283" i="22" s="1"/>
  <c r="X282" i="22"/>
  <c r="AD282" i="22" s="1"/>
  <c r="W282" i="22"/>
  <c r="AC282" i="22" s="1"/>
  <c r="V282" i="22"/>
  <c r="AB282" i="22" s="1"/>
  <c r="X281" i="22"/>
  <c r="AD281" i="22" s="1"/>
  <c r="W281" i="22"/>
  <c r="AC281" i="22" s="1"/>
  <c r="V281" i="22"/>
  <c r="AB281" i="22" s="1"/>
  <c r="X280" i="22"/>
  <c r="AD280" i="22" s="1"/>
  <c r="W280" i="22"/>
  <c r="AC280" i="22" s="1"/>
  <c r="V280" i="22"/>
  <c r="AB280" i="22" s="1"/>
  <c r="X279" i="22"/>
  <c r="AD279" i="22" s="1"/>
  <c r="W279" i="22"/>
  <c r="AC279" i="22" s="1"/>
  <c r="V279" i="22"/>
  <c r="AB279" i="22" s="1"/>
  <c r="X278" i="22"/>
  <c r="AD278" i="22" s="1"/>
  <c r="W278" i="22"/>
  <c r="AC278" i="22" s="1"/>
  <c r="V278" i="22"/>
  <c r="AB278" i="22" s="1"/>
  <c r="X277" i="22"/>
  <c r="AD277" i="22" s="1"/>
  <c r="W277" i="22"/>
  <c r="AC277" i="22" s="1"/>
  <c r="V277" i="22"/>
  <c r="AB277" i="22" s="1"/>
  <c r="X276" i="22"/>
  <c r="AD276" i="22" s="1"/>
  <c r="W276" i="22"/>
  <c r="AC276" i="22" s="1"/>
  <c r="V276" i="22"/>
  <c r="AB276" i="22" s="1"/>
  <c r="X275" i="22"/>
  <c r="AD275" i="22" s="1"/>
  <c r="W275" i="22"/>
  <c r="AC275" i="22" s="1"/>
  <c r="V275" i="22"/>
  <c r="AB275" i="22" s="1"/>
  <c r="X274" i="22"/>
  <c r="AD274" i="22" s="1"/>
  <c r="W274" i="22"/>
  <c r="AC274" i="22" s="1"/>
  <c r="V274" i="22"/>
  <c r="AB274" i="22" s="1"/>
  <c r="X273" i="22"/>
  <c r="AD273" i="22" s="1"/>
  <c r="W273" i="22"/>
  <c r="AC273" i="22" s="1"/>
  <c r="V273" i="22"/>
  <c r="AB273" i="22" s="1"/>
  <c r="X272" i="22"/>
  <c r="AD272" i="22" s="1"/>
  <c r="W272" i="22"/>
  <c r="AC272" i="22" s="1"/>
  <c r="V272" i="22"/>
  <c r="AB272" i="22" s="1"/>
  <c r="X271" i="22"/>
  <c r="AD271" i="22" s="1"/>
  <c r="W271" i="22"/>
  <c r="AC271" i="22" s="1"/>
  <c r="V271" i="22"/>
  <c r="AB271" i="22" s="1"/>
  <c r="X270" i="22"/>
  <c r="AD270" i="22" s="1"/>
  <c r="W270" i="22"/>
  <c r="AC270" i="22" s="1"/>
  <c r="V270" i="22"/>
  <c r="AB270" i="22" s="1"/>
  <c r="X269" i="22"/>
  <c r="AD269" i="22" s="1"/>
  <c r="W269" i="22"/>
  <c r="AC269" i="22" s="1"/>
  <c r="V269" i="22"/>
  <c r="AB269" i="22" s="1"/>
  <c r="X268" i="22"/>
  <c r="AD268" i="22" s="1"/>
  <c r="W268" i="22"/>
  <c r="AC268" i="22" s="1"/>
  <c r="V268" i="22"/>
  <c r="AB268" i="22" s="1"/>
  <c r="X267" i="22"/>
  <c r="AD267" i="22" s="1"/>
  <c r="W267" i="22"/>
  <c r="AC267" i="22" s="1"/>
  <c r="V267" i="22"/>
  <c r="AB267" i="22" s="1"/>
  <c r="X266" i="22"/>
  <c r="AD266" i="22" s="1"/>
  <c r="W266" i="22"/>
  <c r="AC266" i="22" s="1"/>
  <c r="V266" i="22"/>
  <c r="AB266" i="22" s="1"/>
  <c r="X265" i="22"/>
  <c r="AD265" i="22" s="1"/>
  <c r="W265" i="22"/>
  <c r="AC265" i="22" s="1"/>
  <c r="V265" i="22"/>
  <c r="AB265" i="22" s="1"/>
  <c r="X264" i="22"/>
  <c r="AD264" i="22" s="1"/>
  <c r="W264" i="22"/>
  <c r="AC264" i="22" s="1"/>
  <c r="V264" i="22"/>
  <c r="AB264" i="22" s="1"/>
  <c r="X263" i="22"/>
  <c r="AD263" i="22" s="1"/>
  <c r="W263" i="22"/>
  <c r="AC263" i="22" s="1"/>
  <c r="V263" i="22"/>
  <c r="AB263" i="22" s="1"/>
  <c r="X262" i="22"/>
  <c r="AD262" i="22" s="1"/>
  <c r="W262" i="22"/>
  <c r="AC262" i="22" s="1"/>
  <c r="V262" i="22"/>
  <c r="AB262" i="22" s="1"/>
  <c r="X261" i="22"/>
  <c r="AD261" i="22" s="1"/>
  <c r="W261" i="22"/>
  <c r="AC261" i="22" s="1"/>
  <c r="V261" i="22"/>
  <c r="AB261" i="22" s="1"/>
  <c r="X260" i="22"/>
  <c r="AD260" i="22" s="1"/>
  <c r="W260" i="22"/>
  <c r="AC260" i="22" s="1"/>
  <c r="V260" i="22"/>
  <c r="AB260" i="22" s="1"/>
  <c r="X259" i="22"/>
  <c r="AD259" i="22" s="1"/>
  <c r="W259" i="22"/>
  <c r="AC259" i="22" s="1"/>
  <c r="V259" i="22"/>
  <c r="AB259" i="22" s="1"/>
  <c r="X258" i="22"/>
  <c r="AD258" i="22" s="1"/>
  <c r="W258" i="22"/>
  <c r="AC258" i="22" s="1"/>
  <c r="V258" i="22"/>
  <c r="AB258" i="22" s="1"/>
  <c r="X257" i="22"/>
  <c r="AD257" i="22" s="1"/>
  <c r="W257" i="22"/>
  <c r="AC257" i="22" s="1"/>
  <c r="V257" i="22"/>
  <c r="AB257" i="22" s="1"/>
  <c r="X256" i="22"/>
  <c r="AD256" i="22" s="1"/>
  <c r="W256" i="22"/>
  <c r="AC256" i="22" s="1"/>
  <c r="V256" i="22"/>
  <c r="AB256" i="22" s="1"/>
  <c r="X255" i="22"/>
  <c r="AD255" i="22" s="1"/>
  <c r="W255" i="22"/>
  <c r="AC255" i="22" s="1"/>
  <c r="V255" i="22"/>
  <c r="AB255" i="22" s="1"/>
  <c r="X254" i="22"/>
  <c r="AD254" i="22" s="1"/>
  <c r="W254" i="22"/>
  <c r="AC254" i="22" s="1"/>
  <c r="V254" i="22"/>
  <c r="AB254" i="22" s="1"/>
  <c r="X253" i="22"/>
  <c r="AD253" i="22" s="1"/>
  <c r="W253" i="22"/>
  <c r="AC253" i="22" s="1"/>
  <c r="V253" i="22"/>
  <c r="AB253" i="22" s="1"/>
  <c r="X252" i="22"/>
  <c r="AD252" i="22" s="1"/>
  <c r="W252" i="22"/>
  <c r="AC252" i="22" s="1"/>
  <c r="V252" i="22"/>
  <c r="AB252" i="22" s="1"/>
  <c r="X251" i="22"/>
  <c r="AD251" i="22" s="1"/>
  <c r="W251" i="22"/>
  <c r="AC251" i="22" s="1"/>
  <c r="V251" i="22"/>
  <c r="AB251" i="22" s="1"/>
  <c r="X250" i="22"/>
  <c r="AD250" i="22" s="1"/>
  <c r="W250" i="22"/>
  <c r="AC250" i="22" s="1"/>
  <c r="V250" i="22"/>
  <c r="AB250" i="22" s="1"/>
  <c r="X249" i="22"/>
  <c r="AD249" i="22" s="1"/>
  <c r="W249" i="22"/>
  <c r="AC249" i="22" s="1"/>
  <c r="V249" i="22"/>
  <c r="AB249" i="22" s="1"/>
  <c r="X248" i="22"/>
  <c r="AD248" i="22" s="1"/>
  <c r="W248" i="22"/>
  <c r="AC248" i="22" s="1"/>
  <c r="V248" i="22"/>
  <c r="AB248" i="22" s="1"/>
  <c r="X247" i="22"/>
  <c r="AD247" i="22" s="1"/>
  <c r="W247" i="22"/>
  <c r="AC247" i="22" s="1"/>
  <c r="V247" i="22"/>
  <c r="AB247" i="22" s="1"/>
  <c r="X246" i="22"/>
  <c r="AD246" i="22" s="1"/>
  <c r="W246" i="22"/>
  <c r="AC246" i="22" s="1"/>
  <c r="V246" i="22"/>
  <c r="AB246" i="22" s="1"/>
  <c r="X245" i="22"/>
  <c r="AD245" i="22" s="1"/>
  <c r="W245" i="22"/>
  <c r="AC245" i="22" s="1"/>
  <c r="V245" i="22"/>
  <c r="AB245" i="22" s="1"/>
  <c r="X244" i="22"/>
  <c r="AD244" i="22" s="1"/>
  <c r="W244" i="22"/>
  <c r="AC244" i="22" s="1"/>
  <c r="V244" i="22"/>
  <c r="AB244" i="22" s="1"/>
  <c r="X243" i="22"/>
  <c r="AD243" i="22" s="1"/>
  <c r="W243" i="22"/>
  <c r="AC243" i="22" s="1"/>
  <c r="V243" i="22"/>
  <c r="AB243" i="22" s="1"/>
  <c r="X242" i="22"/>
  <c r="AD242" i="22" s="1"/>
  <c r="W242" i="22"/>
  <c r="AC242" i="22" s="1"/>
  <c r="V242" i="22"/>
  <c r="AB242" i="22" s="1"/>
  <c r="X241" i="22"/>
  <c r="AD241" i="22" s="1"/>
  <c r="W241" i="22"/>
  <c r="AC241" i="22" s="1"/>
  <c r="V241" i="22"/>
  <c r="AB241" i="22" s="1"/>
  <c r="X240" i="22"/>
  <c r="AD240" i="22" s="1"/>
  <c r="W240" i="22"/>
  <c r="AC240" i="22" s="1"/>
  <c r="V240" i="22"/>
  <c r="AB240" i="22" s="1"/>
  <c r="X239" i="22"/>
  <c r="AD239" i="22" s="1"/>
  <c r="W239" i="22"/>
  <c r="AC239" i="22" s="1"/>
  <c r="V239" i="22"/>
  <c r="AB239" i="22" s="1"/>
  <c r="X238" i="22"/>
  <c r="AD238" i="22" s="1"/>
  <c r="W238" i="22"/>
  <c r="AC238" i="22" s="1"/>
  <c r="V238" i="22"/>
  <c r="AB238" i="22" s="1"/>
  <c r="X237" i="22"/>
  <c r="AD237" i="22" s="1"/>
  <c r="W237" i="22"/>
  <c r="AC237" i="22" s="1"/>
  <c r="V237" i="22"/>
  <c r="AB237" i="22" s="1"/>
  <c r="X236" i="22"/>
  <c r="AD236" i="22" s="1"/>
  <c r="W236" i="22"/>
  <c r="AC236" i="22" s="1"/>
  <c r="V236" i="22"/>
  <c r="AB236" i="22" s="1"/>
  <c r="X235" i="22"/>
  <c r="AD235" i="22" s="1"/>
  <c r="W235" i="22"/>
  <c r="AC235" i="22" s="1"/>
  <c r="V235" i="22"/>
  <c r="AB235" i="22" s="1"/>
  <c r="X234" i="22"/>
  <c r="AD234" i="22" s="1"/>
  <c r="W234" i="22"/>
  <c r="AC234" i="22" s="1"/>
  <c r="V234" i="22"/>
  <c r="AB234" i="22" s="1"/>
  <c r="X233" i="22"/>
  <c r="AD233" i="22" s="1"/>
  <c r="W233" i="22"/>
  <c r="AC233" i="22" s="1"/>
  <c r="V233" i="22"/>
  <c r="AB233" i="22" s="1"/>
  <c r="X232" i="22"/>
  <c r="AD232" i="22" s="1"/>
  <c r="W232" i="22"/>
  <c r="AC232" i="22" s="1"/>
  <c r="V232" i="22"/>
  <c r="AB232" i="22" s="1"/>
  <c r="X231" i="22"/>
  <c r="AD231" i="22" s="1"/>
  <c r="W231" i="22"/>
  <c r="AC231" i="22" s="1"/>
  <c r="V231" i="22"/>
  <c r="AB231" i="22" s="1"/>
  <c r="X230" i="22"/>
  <c r="AD230" i="22" s="1"/>
  <c r="W230" i="22"/>
  <c r="AC230" i="22" s="1"/>
  <c r="V230" i="22"/>
  <c r="AB230" i="22" s="1"/>
  <c r="X229" i="22"/>
  <c r="AD229" i="22" s="1"/>
  <c r="W229" i="22"/>
  <c r="AC229" i="22" s="1"/>
  <c r="V229" i="22"/>
  <c r="AB229" i="22" s="1"/>
  <c r="X228" i="22"/>
  <c r="AD228" i="22" s="1"/>
  <c r="W228" i="22"/>
  <c r="AC228" i="22" s="1"/>
  <c r="V228" i="22"/>
  <c r="AB228" i="22" s="1"/>
  <c r="X227" i="22"/>
  <c r="AD227" i="22" s="1"/>
  <c r="W227" i="22"/>
  <c r="AC227" i="22" s="1"/>
  <c r="V227" i="22"/>
  <c r="AB227" i="22" s="1"/>
  <c r="X226" i="22"/>
  <c r="AD226" i="22" s="1"/>
  <c r="W226" i="22"/>
  <c r="AC226" i="22" s="1"/>
  <c r="V226" i="22"/>
  <c r="AB226" i="22" s="1"/>
  <c r="X225" i="22"/>
  <c r="AD225" i="22" s="1"/>
  <c r="W225" i="22"/>
  <c r="AC225" i="22" s="1"/>
  <c r="V225" i="22"/>
  <c r="AB225" i="22" s="1"/>
  <c r="X224" i="22"/>
  <c r="AD224" i="22" s="1"/>
  <c r="W224" i="22"/>
  <c r="AC224" i="22" s="1"/>
  <c r="V224" i="22"/>
  <c r="AB224" i="22" s="1"/>
  <c r="X223" i="22"/>
  <c r="AD223" i="22" s="1"/>
  <c r="W223" i="22"/>
  <c r="AC223" i="22" s="1"/>
  <c r="V223" i="22"/>
  <c r="AB223" i="22" s="1"/>
  <c r="X222" i="22"/>
  <c r="AD222" i="22" s="1"/>
  <c r="W222" i="22"/>
  <c r="AC222" i="22" s="1"/>
  <c r="V222" i="22"/>
  <c r="AB222" i="22" s="1"/>
  <c r="X221" i="22"/>
  <c r="AD221" i="22" s="1"/>
  <c r="W221" i="22"/>
  <c r="AC221" i="22" s="1"/>
  <c r="V221" i="22"/>
  <c r="AB221" i="22" s="1"/>
  <c r="X220" i="22"/>
  <c r="AD220" i="22" s="1"/>
  <c r="W220" i="22"/>
  <c r="AC220" i="22" s="1"/>
  <c r="V220" i="22"/>
  <c r="AB220" i="22" s="1"/>
  <c r="X219" i="22"/>
  <c r="AD219" i="22" s="1"/>
  <c r="W219" i="22"/>
  <c r="AC219" i="22" s="1"/>
  <c r="V219" i="22"/>
  <c r="AB219" i="22" s="1"/>
  <c r="X218" i="22"/>
  <c r="AD218" i="22" s="1"/>
  <c r="W218" i="22"/>
  <c r="AC218" i="22" s="1"/>
  <c r="V218" i="22"/>
  <c r="AB218" i="22" s="1"/>
  <c r="X217" i="22"/>
  <c r="AD217" i="22" s="1"/>
  <c r="W217" i="22"/>
  <c r="AC217" i="22" s="1"/>
  <c r="V217" i="22"/>
  <c r="AB217" i="22" s="1"/>
  <c r="X216" i="22"/>
  <c r="AD216" i="22" s="1"/>
  <c r="W216" i="22"/>
  <c r="AC216" i="22" s="1"/>
  <c r="V216" i="22"/>
  <c r="AB216" i="22" s="1"/>
  <c r="X215" i="22"/>
  <c r="AD215" i="22" s="1"/>
  <c r="W215" i="22"/>
  <c r="AC215" i="22" s="1"/>
  <c r="V215" i="22"/>
  <c r="AB215" i="22" s="1"/>
  <c r="X214" i="22"/>
  <c r="AD214" i="22" s="1"/>
  <c r="W214" i="22"/>
  <c r="AC214" i="22" s="1"/>
  <c r="V214" i="22"/>
  <c r="AB214" i="22" s="1"/>
  <c r="X213" i="22"/>
  <c r="AD213" i="22" s="1"/>
  <c r="W213" i="22"/>
  <c r="AC213" i="22" s="1"/>
  <c r="V213" i="22"/>
  <c r="AB213" i="22" s="1"/>
  <c r="X212" i="22"/>
  <c r="AD212" i="22" s="1"/>
  <c r="W212" i="22"/>
  <c r="AC212" i="22" s="1"/>
  <c r="V212" i="22"/>
  <c r="AB212" i="22" s="1"/>
  <c r="X211" i="22"/>
  <c r="AD211" i="22" s="1"/>
  <c r="W211" i="22"/>
  <c r="AC211" i="22" s="1"/>
  <c r="V211" i="22"/>
  <c r="AB211" i="22" s="1"/>
  <c r="X210" i="22"/>
  <c r="AD210" i="22" s="1"/>
  <c r="W210" i="22"/>
  <c r="AC210" i="22" s="1"/>
  <c r="V210" i="22"/>
  <c r="AB210" i="22" s="1"/>
  <c r="X209" i="22"/>
  <c r="AD209" i="22" s="1"/>
  <c r="W209" i="22"/>
  <c r="AC209" i="22" s="1"/>
  <c r="V209" i="22"/>
  <c r="AB209" i="22" s="1"/>
  <c r="X208" i="22"/>
  <c r="AD208" i="22" s="1"/>
  <c r="W208" i="22"/>
  <c r="AC208" i="22" s="1"/>
  <c r="V208" i="22"/>
  <c r="AB208" i="22" s="1"/>
  <c r="X207" i="22"/>
  <c r="AD207" i="22" s="1"/>
  <c r="W207" i="22"/>
  <c r="AC207" i="22" s="1"/>
  <c r="V207" i="22"/>
  <c r="AB207" i="22" s="1"/>
  <c r="X206" i="22"/>
  <c r="AD206" i="22" s="1"/>
  <c r="W206" i="22"/>
  <c r="AC206" i="22" s="1"/>
  <c r="V206" i="22"/>
  <c r="AB206" i="22" s="1"/>
  <c r="X205" i="22"/>
  <c r="AD205" i="22" s="1"/>
  <c r="W205" i="22"/>
  <c r="AC205" i="22" s="1"/>
  <c r="V205" i="22"/>
  <c r="AB205" i="22" s="1"/>
  <c r="X204" i="22"/>
  <c r="AD204" i="22" s="1"/>
  <c r="W204" i="22"/>
  <c r="AC204" i="22" s="1"/>
  <c r="V204" i="22"/>
  <c r="AB204" i="22" s="1"/>
  <c r="X203" i="22"/>
  <c r="AD203" i="22" s="1"/>
  <c r="W203" i="22"/>
  <c r="AC203" i="22" s="1"/>
  <c r="V203" i="22"/>
  <c r="AB203" i="22" s="1"/>
  <c r="X202" i="22"/>
  <c r="AD202" i="22" s="1"/>
  <c r="W202" i="22"/>
  <c r="AC202" i="22" s="1"/>
  <c r="V202" i="22"/>
  <c r="AB202" i="22" s="1"/>
  <c r="X201" i="22"/>
  <c r="AD201" i="22" s="1"/>
  <c r="W201" i="22"/>
  <c r="AC201" i="22" s="1"/>
  <c r="V201" i="22"/>
  <c r="AB201" i="22" s="1"/>
  <c r="X200" i="22"/>
  <c r="AD200" i="22" s="1"/>
  <c r="W200" i="22"/>
  <c r="AC200" i="22" s="1"/>
  <c r="V200" i="22"/>
  <c r="AB200" i="22" s="1"/>
  <c r="X199" i="22"/>
  <c r="AD199" i="22" s="1"/>
  <c r="W199" i="22"/>
  <c r="AC199" i="22" s="1"/>
  <c r="V199" i="22"/>
  <c r="AB199" i="22" s="1"/>
  <c r="X198" i="22"/>
  <c r="AD198" i="22" s="1"/>
  <c r="W198" i="22"/>
  <c r="AC198" i="22" s="1"/>
  <c r="V198" i="22"/>
  <c r="AB198" i="22" s="1"/>
  <c r="X197" i="22"/>
  <c r="AD197" i="22" s="1"/>
  <c r="W197" i="22"/>
  <c r="AC197" i="22" s="1"/>
  <c r="V197" i="22"/>
  <c r="AB197" i="22" s="1"/>
  <c r="X196" i="22"/>
  <c r="AD196" i="22" s="1"/>
  <c r="W196" i="22"/>
  <c r="AC196" i="22" s="1"/>
  <c r="V196" i="22"/>
  <c r="AB196" i="22" s="1"/>
  <c r="X195" i="22"/>
  <c r="AD195" i="22" s="1"/>
  <c r="W195" i="22"/>
  <c r="AC195" i="22" s="1"/>
  <c r="V195" i="22"/>
  <c r="AB195" i="22" s="1"/>
  <c r="X194" i="22"/>
  <c r="AD194" i="22" s="1"/>
  <c r="W194" i="22"/>
  <c r="AC194" i="22" s="1"/>
  <c r="V194" i="22"/>
  <c r="AB194" i="22" s="1"/>
  <c r="X193" i="22"/>
  <c r="AD193" i="22" s="1"/>
  <c r="AO4" i="22" s="1"/>
  <c r="W193" i="22"/>
  <c r="AC193" i="22" s="1"/>
  <c r="V193" i="22"/>
  <c r="AB193" i="22" s="1"/>
  <c r="X192" i="22"/>
  <c r="AD192" i="22" s="1"/>
  <c r="W192" i="22"/>
  <c r="AC192" i="22" s="1"/>
  <c r="V192" i="22"/>
  <c r="AB192" i="22" s="1"/>
  <c r="X191" i="22"/>
  <c r="AD191" i="22" s="1"/>
  <c r="W191" i="22"/>
  <c r="AC191" i="22" s="1"/>
  <c r="V191" i="22"/>
  <c r="AB191" i="22" s="1"/>
  <c r="X190" i="22"/>
  <c r="AD190" i="22" s="1"/>
  <c r="W190" i="22"/>
  <c r="AC190" i="22" s="1"/>
  <c r="V190" i="22"/>
  <c r="AB190" i="22" s="1"/>
  <c r="X189" i="22"/>
  <c r="AD189" i="22" s="1"/>
  <c r="W189" i="22"/>
  <c r="AC189" i="22" s="1"/>
  <c r="V189" i="22"/>
  <c r="AB189" i="22" s="1"/>
  <c r="X188" i="22"/>
  <c r="AD188" i="22" s="1"/>
  <c r="W188" i="22"/>
  <c r="AC188" i="22" s="1"/>
  <c r="V188" i="22"/>
  <c r="AB188" i="22" s="1"/>
  <c r="X187" i="22"/>
  <c r="AD187" i="22" s="1"/>
  <c r="W187" i="22"/>
  <c r="AC187" i="22" s="1"/>
  <c r="V187" i="22"/>
  <c r="AB187" i="22" s="1"/>
  <c r="X186" i="22"/>
  <c r="AD186" i="22" s="1"/>
  <c r="W186" i="22"/>
  <c r="AC186" i="22" s="1"/>
  <c r="V186" i="22"/>
  <c r="AB186" i="22" s="1"/>
  <c r="X185" i="22"/>
  <c r="AD185" i="22" s="1"/>
  <c r="W185" i="22"/>
  <c r="AC185" i="22" s="1"/>
  <c r="V185" i="22"/>
  <c r="AB185" i="22" s="1"/>
  <c r="X184" i="22"/>
  <c r="AD184" i="22" s="1"/>
  <c r="W184" i="22"/>
  <c r="AC184" i="22" s="1"/>
  <c r="V184" i="22"/>
  <c r="AB184" i="22" s="1"/>
  <c r="X183" i="22"/>
  <c r="AD183" i="22" s="1"/>
  <c r="W183" i="22"/>
  <c r="AC183" i="22" s="1"/>
  <c r="V183" i="22"/>
  <c r="AB183" i="22" s="1"/>
  <c r="X182" i="22"/>
  <c r="AD182" i="22" s="1"/>
  <c r="W182" i="22"/>
  <c r="AC182" i="22" s="1"/>
  <c r="V182" i="22"/>
  <c r="AB182" i="22" s="1"/>
  <c r="X181" i="22"/>
  <c r="AD181" i="22" s="1"/>
  <c r="W181" i="22"/>
  <c r="AC181" i="22" s="1"/>
  <c r="V181" i="22"/>
  <c r="AB181" i="22" s="1"/>
  <c r="X180" i="22"/>
  <c r="AD180" i="22" s="1"/>
  <c r="W180" i="22"/>
  <c r="AC180" i="22" s="1"/>
  <c r="V180" i="22"/>
  <c r="AB180" i="22" s="1"/>
  <c r="X179" i="22"/>
  <c r="AD179" i="22" s="1"/>
  <c r="W179" i="22"/>
  <c r="AC179" i="22" s="1"/>
  <c r="V179" i="22"/>
  <c r="AB179" i="22" s="1"/>
  <c r="X178" i="22"/>
  <c r="AD178" i="22" s="1"/>
  <c r="W178" i="22"/>
  <c r="AC178" i="22" s="1"/>
  <c r="V178" i="22"/>
  <c r="AB178" i="22" s="1"/>
  <c r="X177" i="22"/>
  <c r="AD177" i="22" s="1"/>
  <c r="W177" i="22"/>
  <c r="AC177" i="22" s="1"/>
  <c r="V177" i="22"/>
  <c r="AB177" i="22" s="1"/>
  <c r="X176" i="22"/>
  <c r="AD176" i="22" s="1"/>
  <c r="W176" i="22"/>
  <c r="AC176" i="22" s="1"/>
  <c r="V176" i="22"/>
  <c r="AB176" i="22" s="1"/>
  <c r="X175" i="22"/>
  <c r="AD175" i="22" s="1"/>
  <c r="W175" i="22"/>
  <c r="AC175" i="22" s="1"/>
  <c r="V175" i="22"/>
  <c r="AB175" i="22" s="1"/>
  <c r="X174" i="22"/>
  <c r="AD174" i="22" s="1"/>
  <c r="W174" i="22"/>
  <c r="AC174" i="22" s="1"/>
  <c r="V174" i="22"/>
  <c r="AB174" i="22" s="1"/>
  <c r="X173" i="22"/>
  <c r="AD173" i="22" s="1"/>
  <c r="W173" i="22"/>
  <c r="AC173" i="22" s="1"/>
  <c r="V173" i="22"/>
  <c r="AB173" i="22" s="1"/>
  <c r="X172" i="22"/>
  <c r="AD172" i="22" s="1"/>
  <c r="W172" i="22"/>
  <c r="AC172" i="22" s="1"/>
  <c r="V172" i="22"/>
  <c r="AB172" i="22" s="1"/>
  <c r="X171" i="22"/>
  <c r="AD171" i="22" s="1"/>
  <c r="W171" i="22"/>
  <c r="AC171" i="22" s="1"/>
  <c r="V171" i="22"/>
  <c r="AB171" i="22" s="1"/>
  <c r="X170" i="22"/>
  <c r="AD170" i="22" s="1"/>
  <c r="W170" i="22"/>
  <c r="AC170" i="22" s="1"/>
  <c r="V170" i="22"/>
  <c r="AB170" i="22" s="1"/>
  <c r="X169" i="22"/>
  <c r="AD169" i="22" s="1"/>
  <c r="W169" i="22"/>
  <c r="AC169" i="22" s="1"/>
  <c r="V169" i="22"/>
  <c r="AB169" i="22" s="1"/>
  <c r="X168" i="22"/>
  <c r="AD168" i="22" s="1"/>
  <c r="W168" i="22"/>
  <c r="AC168" i="22" s="1"/>
  <c r="V168" i="22"/>
  <c r="AB168" i="22" s="1"/>
  <c r="X167" i="22"/>
  <c r="AD167" i="22" s="1"/>
  <c r="W167" i="22"/>
  <c r="AC167" i="22" s="1"/>
  <c r="V167" i="22"/>
  <c r="AB167" i="22" s="1"/>
  <c r="X166" i="22"/>
  <c r="AD166" i="22" s="1"/>
  <c r="W166" i="22"/>
  <c r="AC166" i="22" s="1"/>
  <c r="V166" i="22"/>
  <c r="AB166" i="22" s="1"/>
  <c r="X165" i="22"/>
  <c r="AD165" i="22" s="1"/>
  <c r="W165" i="22"/>
  <c r="AC165" i="22" s="1"/>
  <c r="V165" i="22"/>
  <c r="AB165" i="22" s="1"/>
  <c r="X164" i="22"/>
  <c r="AD164" i="22" s="1"/>
  <c r="W164" i="22"/>
  <c r="AC164" i="22" s="1"/>
  <c r="V164" i="22"/>
  <c r="AB164" i="22" s="1"/>
  <c r="X163" i="22"/>
  <c r="AD163" i="22" s="1"/>
  <c r="W163" i="22"/>
  <c r="AC163" i="22" s="1"/>
  <c r="V163" i="22"/>
  <c r="AB163" i="22" s="1"/>
  <c r="X162" i="22"/>
  <c r="AD162" i="22" s="1"/>
  <c r="W162" i="22"/>
  <c r="AC162" i="22" s="1"/>
  <c r="V162" i="22"/>
  <c r="AB162" i="22" s="1"/>
  <c r="X161" i="22"/>
  <c r="AD161" i="22" s="1"/>
  <c r="W161" i="22"/>
  <c r="AC161" i="22" s="1"/>
  <c r="V161" i="22"/>
  <c r="AB161" i="22" s="1"/>
  <c r="X160" i="22"/>
  <c r="AD160" i="22" s="1"/>
  <c r="W160" i="22"/>
  <c r="AC160" i="22" s="1"/>
  <c r="V160" i="22"/>
  <c r="AB160" i="22" s="1"/>
  <c r="X159" i="22"/>
  <c r="AD159" i="22" s="1"/>
  <c r="W159" i="22"/>
  <c r="AC159" i="22" s="1"/>
  <c r="V159" i="22"/>
  <c r="AB159" i="22" s="1"/>
  <c r="X158" i="22"/>
  <c r="AD158" i="22" s="1"/>
  <c r="W158" i="22"/>
  <c r="AC158" i="22" s="1"/>
  <c r="V158" i="22"/>
  <c r="AB158" i="22" s="1"/>
  <c r="X157" i="22"/>
  <c r="AD157" i="22" s="1"/>
  <c r="W157" i="22"/>
  <c r="AC157" i="22" s="1"/>
  <c r="V157" i="22"/>
  <c r="AB157" i="22" s="1"/>
  <c r="X156" i="22"/>
  <c r="AD156" i="22" s="1"/>
  <c r="W156" i="22"/>
  <c r="AC156" i="22" s="1"/>
  <c r="V156" i="22"/>
  <c r="AB156" i="22" s="1"/>
  <c r="X155" i="22"/>
  <c r="AD155" i="22" s="1"/>
  <c r="W155" i="22"/>
  <c r="AC155" i="22" s="1"/>
  <c r="V155" i="22"/>
  <c r="AB155" i="22" s="1"/>
  <c r="X154" i="22"/>
  <c r="AD154" i="22" s="1"/>
  <c r="W154" i="22"/>
  <c r="AC154" i="22" s="1"/>
  <c r="V154" i="22"/>
  <c r="AB154" i="22" s="1"/>
  <c r="X153" i="22"/>
  <c r="AD153" i="22" s="1"/>
  <c r="W153" i="22"/>
  <c r="AC153" i="22" s="1"/>
  <c r="V153" i="22"/>
  <c r="AB153" i="22" s="1"/>
  <c r="X152" i="22"/>
  <c r="AD152" i="22" s="1"/>
  <c r="W152" i="22"/>
  <c r="AC152" i="22" s="1"/>
  <c r="V152" i="22"/>
  <c r="AB152" i="22" s="1"/>
  <c r="X151" i="22"/>
  <c r="AD151" i="22" s="1"/>
  <c r="W151" i="22"/>
  <c r="AC151" i="22" s="1"/>
  <c r="V151" i="22"/>
  <c r="AB151" i="22" s="1"/>
  <c r="X150" i="22"/>
  <c r="AD150" i="22" s="1"/>
  <c r="W150" i="22"/>
  <c r="AC150" i="22" s="1"/>
  <c r="V150" i="22"/>
  <c r="AB150" i="22" s="1"/>
  <c r="X149" i="22"/>
  <c r="AD149" i="22" s="1"/>
  <c r="W149" i="22"/>
  <c r="AC149" i="22" s="1"/>
  <c r="V149" i="22"/>
  <c r="AB149" i="22" s="1"/>
  <c r="X148" i="22"/>
  <c r="AD148" i="22" s="1"/>
  <c r="W148" i="22"/>
  <c r="AC148" i="22" s="1"/>
  <c r="V148" i="22"/>
  <c r="AB148" i="22" s="1"/>
  <c r="X147" i="22"/>
  <c r="AD147" i="22" s="1"/>
  <c r="W147" i="22"/>
  <c r="AC147" i="22" s="1"/>
  <c r="V147" i="22"/>
  <c r="AB147" i="22" s="1"/>
  <c r="X146" i="22"/>
  <c r="AD146" i="22" s="1"/>
  <c r="W146" i="22"/>
  <c r="AC146" i="22" s="1"/>
  <c r="V146" i="22"/>
  <c r="AB146" i="22" s="1"/>
  <c r="X145" i="22"/>
  <c r="AD145" i="22" s="1"/>
  <c r="W145" i="22"/>
  <c r="AC145" i="22" s="1"/>
  <c r="V145" i="22"/>
  <c r="AB145" i="22" s="1"/>
  <c r="X144" i="22"/>
  <c r="AD144" i="22" s="1"/>
  <c r="W144" i="22"/>
  <c r="AC144" i="22" s="1"/>
  <c r="V144" i="22"/>
  <c r="AB144" i="22" s="1"/>
  <c r="X143" i="22"/>
  <c r="AD143" i="22" s="1"/>
  <c r="W143" i="22"/>
  <c r="AC143" i="22" s="1"/>
  <c r="V143" i="22"/>
  <c r="AB143" i="22" s="1"/>
  <c r="X142" i="22"/>
  <c r="AD142" i="22" s="1"/>
  <c r="W142" i="22"/>
  <c r="AC142" i="22" s="1"/>
  <c r="V142" i="22"/>
  <c r="AB142" i="22" s="1"/>
  <c r="X141" i="22"/>
  <c r="AD141" i="22" s="1"/>
  <c r="W141" i="22"/>
  <c r="AC141" i="22" s="1"/>
  <c r="V141" i="22"/>
  <c r="AB141" i="22" s="1"/>
  <c r="X140" i="22"/>
  <c r="AD140" i="22" s="1"/>
  <c r="W140" i="22"/>
  <c r="AC140" i="22" s="1"/>
  <c r="V140" i="22"/>
  <c r="AB140" i="22" s="1"/>
  <c r="X139" i="22"/>
  <c r="AD139" i="22" s="1"/>
  <c r="W139" i="22"/>
  <c r="AC139" i="22" s="1"/>
  <c r="V139" i="22"/>
  <c r="AB139" i="22" s="1"/>
  <c r="X138" i="22"/>
  <c r="AD138" i="22" s="1"/>
  <c r="W138" i="22"/>
  <c r="AC138" i="22" s="1"/>
  <c r="V138" i="22"/>
  <c r="AB138" i="22" s="1"/>
  <c r="X137" i="22"/>
  <c r="AD137" i="22" s="1"/>
  <c r="W137" i="22"/>
  <c r="AC137" i="22" s="1"/>
  <c r="V137" i="22"/>
  <c r="AB137" i="22" s="1"/>
  <c r="X136" i="22"/>
  <c r="AD136" i="22" s="1"/>
  <c r="W136" i="22"/>
  <c r="AC136" i="22" s="1"/>
  <c r="V136" i="22"/>
  <c r="AB136" i="22" s="1"/>
  <c r="X135" i="22"/>
  <c r="AD135" i="22" s="1"/>
  <c r="W135" i="22"/>
  <c r="AC135" i="22" s="1"/>
  <c r="V135" i="22"/>
  <c r="AB135" i="22" s="1"/>
  <c r="X134" i="22"/>
  <c r="AD134" i="22" s="1"/>
  <c r="W134" i="22"/>
  <c r="AC134" i="22" s="1"/>
  <c r="V134" i="22"/>
  <c r="AB134" i="22" s="1"/>
  <c r="X133" i="22"/>
  <c r="AD133" i="22" s="1"/>
  <c r="W133" i="22"/>
  <c r="AC133" i="22" s="1"/>
  <c r="V133" i="22"/>
  <c r="AB133" i="22" s="1"/>
  <c r="X132" i="22"/>
  <c r="AD132" i="22" s="1"/>
  <c r="W132" i="22"/>
  <c r="AC132" i="22" s="1"/>
  <c r="V132" i="22"/>
  <c r="AB132" i="22" s="1"/>
  <c r="X131" i="22"/>
  <c r="AD131" i="22" s="1"/>
  <c r="W131" i="22"/>
  <c r="AC131" i="22" s="1"/>
  <c r="V131" i="22"/>
  <c r="AB131" i="22" s="1"/>
  <c r="X130" i="22"/>
  <c r="AD130" i="22" s="1"/>
  <c r="W130" i="22"/>
  <c r="AC130" i="22" s="1"/>
  <c r="V130" i="22"/>
  <c r="AB130" i="22" s="1"/>
  <c r="X129" i="22"/>
  <c r="AD129" i="22" s="1"/>
  <c r="W129" i="22"/>
  <c r="AC129" i="22" s="1"/>
  <c r="V129" i="22"/>
  <c r="AB129" i="22" s="1"/>
  <c r="X128" i="22"/>
  <c r="AD128" i="22" s="1"/>
  <c r="W128" i="22"/>
  <c r="AC128" i="22" s="1"/>
  <c r="V128" i="22"/>
  <c r="AB128" i="22" s="1"/>
  <c r="X127" i="22"/>
  <c r="AD127" i="22" s="1"/>
  <c r="W127" i="22"/>
  <c r="AC127" i="22" s="1"/>
  <c r="V127" i="22"/>
  <c r="AB127" i="22" s="1"/>
  <c r="X126" i="22"/>
  <c r="AD126" i="22" s="1"/>
  <c r="W126" i="22"/>
  <c r="AC126" i="22" s="1"/>
  <c r="V126" i="22"/>
  <c r="AB126" i="22" s="1"/>
  <c r="X125" i="22"/>
  <c r="AD125" i="22" s="1"/>
  <c r="W125" i="22"/>
  <c r="AC125" i="22" s="1"/>
  <c r="V125" i="22"/>
  <c r="AB125" i="22" s="1"/>
  <c r="X124" i="22"/>
  <c r="AD124" i="22" s="1"/>
  <c r="W124" i="22"/>
  <c r="AC124" i="22" s="1"/>
  <c r="V124" i="22"/>
  <c r="AB124" i="22" s="1"/>
  <c r="X123" i="22"/>
  <c r="AD123" i="22" s="1"/>
  <c r="W123" i="22"/>
  <c r="AC123" i="22" s="1"/>
  <c r="V123" i="22"/>
  <c r="AB123" i="22" s="1"/>
  <c r="X122" i="22"/>
  <c r="AD122" i="22" s="1"/>
  <c r="W122" i="22"/>
  <c r="AC122" i="22" s="1"/>
  <c r="V122" i="22"/>
  <c r="AB122" i="22" s="1"/>
  <c r="X121" i="22"/>
  <c r="AD121" i="22" s="1"/>
  <c r="W121" i="22"/>
  <c r="AC121" i="22" s="1"/>
  <c r="V121" i="22"/>
  <c r="AB121" i="22" s="1"/>
  <c r="X120" i="22"/>
  <c r="AD120" i="22" s="1"/>
  <c r="W120" i="22"/>
  <c r="AC120" i="22" s="1"/>
  <c r="V120" i="22"/>
  <c r="AB120" i="22" s="1"/>
  <c r="X119" i="22"/>
  <c r="AD119" i="22" s="1"/>
  <c r="W119" i="22"/>
  <c r="AC119" i="22" s="1"/>
  <c r="V119" i="22"/>
  <c r="AB119" i="22" s="1"/>
  <c r="X118" i="22"/>
  <c r="AD118" i="22" s="1"/>
  <c r="W118" i="22"/>
  <c r="AC118" i="22" s="1"/>
  <c r="V118" i="22"/>
  <c r="AB118" i="22" s="1"/>
  <c r="X117" i="22"/>
  <c r="AD117" i="22" s="1"/>
  <c r="W117" i="22"/>
  <c r="AC117" i="22" s="1"/>
  <c r="V117" i="22"/>
  <c r="AB117" i="22" s="1"/>
  <c r="X116" i="22"/>
  <c r="AD116" i="22" s="1"/>
  <c r="W116" i="22"/>
  <c r="AC116" i="22" s="1"/>
  <c r="V116" i="22"/>
  <c r="AB116" i="22" s="1"/>
  <c r="X115" i="22"/>
  <c r="AD115" i="22" s="1"/>
  <c r="W115" i="22"/>
  <c r="AC115" i="22" s="1"/>
  <c r="V115" i="22"/>
  <c r="AB115" i="22" s="1"/>
  <c r="X114" i="22"/>
  <c r="AD114" i="22" s="1"/>
  <c r="W114" i="22"/>
  <c r="AC114" i="22" s="1"/>
  <c r="V114" i="22"/>
  <c r="AB114" i="22" s="1"/>
  <c r="X113" i="22"/>
  <c r="AD113" i="22" s="1"/>
  <c r="W113" i="22"/>
  <c r="AC113" i="22" s="1"/>
  <c r="V113" i="22"/>
  <c r="AB113" i="22" s="1"/>
  <c r="X112" i="22"/>
  <c r="AD112" i="22" s="1"/>
  <c r="W112" i="22"/>
  <c r="AC112" i="22" s="1"/>
  <c r="V112" i="22"/>
  <c r="AB112" i="22" s="1"/>
  <c r="X111" i="22"/>
  <c r="AD111" i="22" s="1"/>
  <c r="W111" i="22"/>
  <c r="AC111" i="22" s="1"/>
  <c r="V111" i="22"/>
  <c r="AB111" i="22" s="1"/>
  <c r="X110" i="22"/>
  <c r="AD110" i="22" s="1"/>
  <c r="W110" i="22"/>
  <c r="AC110" i="22" s="1"/>
  <c r="V110" i="22"/>
  <c r="AB110" i="22" s="1"/>
  <c r="X109" i="22"/>
  <c r="AD109" i="22" s="1"/>
  <c r="W109" i="22"/>
  <c r="AC109" i="22" s="1"/>
  <c r="V109" i="22"/>
  <c r="AB109" i="22" s="1"/>
  <c r="X108" i="22"/>
  <c r="AD108" i="22" s="1"/>
  <c r="W108" i="22"/>
  <c r="AC108" i="22" s="1"/>
  <c r="V108" i="22"/>
  <c r="AB108" i="22" s="1"/>
  <c r="V107" i="22"/>
  <c r="AB107" i="22" s="1"/>
  <c r="V106" i="22"/>
  <c r="AB106" i="22" s="1"/>
  <c r="V105" i="22"/>
  <c r="AB105" i="22" s="1"/>
  <c r="V104" i="22"/>
  <c r="AB104" i="22" s="1"/>
  <c r="V103" i="22"/>
  <c r="AB103" i="22" s="1"/>
  <c r="V102" i="22"/>
  <c r="AB102" i="22" s="1"/>
  <c r="V101" i="22"/>
  <c r="AB101" i="22" s="1"/>
  <c r="V100" i="22"/>
  <c r="AB100" i="22" s="1"/>
  <c r="V99" i="22"/>
  <c r="AB99" i="22" s="1"/>
  <c r="V98" i="22"/>
  <c r="AB98" i="22" s="1"/>
  <c r="X97" i="22"/>
  <c r="AD97" i="22" s="1"/>
  <c r="W97" i="22"/>
  <c r="AC97" i="22" s="1"/>
  <c r="X96" i="22"/>
  <c r="AD96" i="22" s="1"/>
  <c r="W96" i="22"/>
  <c r="AC96" i="22" s="1"/>
  <c r="X95" i="22"/>
  <c r="AD95" i="22" s="1"/>
  <c r="W95" i="22"/>
  <c r="AC95" i="22" s="1"/>
  <c r="X94" i="22"/>
  <c r="AD94" i="22" s="1"/>
  <c r="W94" i="22"/>
  <c r="AC94" i="22" s="1"/>
  <c r="X93" i="22"/>
  <c r="AD93" i="22" s="1"/>
  <c r="W93" i="22"/>
  <c r="AC93" i="22" s="1"/>
  <c r="X92" i="22"/>
  <c r="AD92" i="22" s="1"/>
  <c r="W92" i="22"/>
  <c r="AC92" i="22" s="1"/>
  <c r="X91" i="22"/>
  <c r="AD91" i="22" s="1"/>
  <c r="W91" i="22"/>
  <c r="AC91" i="22" s="1"/>
  <c r="X90" i="22"/>
  <c r="AD90" i="22" s="1"/>
  <c r="W90" i="22"/>
  <c r="AC90" i="22" s="1"/>
  <c r="X89" i="22"/>
  <c r="AD89" i="22" s="1"/>
  <c r="W89" i="22"/>
  <c r="AC89" i="22" s="1"/>
  <c r="X88" i="22"/>
  <c r="AD88" i="22" s="1"/>
  <c r="W88" i="22"/>
  <c r="AC88" i="22" s="1"/>
  <c r="V87" i="22"/>
  <c r="AB87" i="22" s="1"/>
  <c r="V86" i="22"/>
  <c r="AB86" i="22" s="1"/>
  <c r="V85" i="22"/>
  <c r="AB85" i="22" s="1"/>
  <c r="V84" i="22"/>
  <c r="AB84" i="22" s="1"/>
  <c r="V83" i="22"/>
  <c r="AB83" i="22" s="1"/>
  <c r="V82" i="22"/>
  <c r="AB82" i="22" s="1"/>
  <c r="V81" i="22"/>
  <c r="AB81" i="22" s="1"/>
  <c r="V80" i="22"/>
  <c r="AB80" i="22" s="1"/>
  <c r="V79" i="22"/>
  <c r="AB79" i="22" s="1"/>
  <c r="V78" i="22"/>
  <c r="AB78" i="22" s="1"/>
  <c r="V77" i="22"/>
  <c r="AB77" i="22" s="1"/>
  <c r="V76" i="22"/>
  <c r="AB76" i="22" s="1"/>
  <c r="X75" i="22"/>
  <c r="AD75" i="22" s="1"/>
  <c r="W75" i="22"/>
  <c r="AC75" i="22" s="1"/>
  <c r="X74" i="22"/>
  <c r="AD74" i="22" s="1"/>
  <c r="W74" i="22"/>
  <c r="AC74" i="22" s="1"/>
  <c r="V73" i="22"/>
  <c r="AB73" i="22" s="1"/>
  <c r="V72" i="22"/>
  <c r="AB72" i="22" s="1"/>
  <c r="X71" i="22"/>
  <c r="AD71" i="22" s="1"/>
  <c r="W71" i="22"/>
  <c r="AC71" i="22" s="1"/>
  <c r="V71" i="22"/>
  <c r="AB71" i="22" s="1"/>
  <c r="X70" i="22"/>
  <c r="AD70" i="22" s="1"/>
  <c r="W70" i="22"/>
  <c r="AC70" i="22" s="1"/>
  <c r="V70" i="22"/>
  <c r="AB70" i="22" s="1"/>
  <c r="X69" i="22"/>
  <c r="AD69" i="22" s="1"/>
  <c r="W69" i="22"/>
  <c r="AC69" i="22" s="1"/>
  <c r="V69" i="22"/>
  <c r="AB69" i="22" s="1"/>
  <c r="X68" i="22"/>
  <c r="AD68" i="22" s="1"/>
  <c r="W68" i="22"/>
  <c r="AC68" i="22" s="1"/>
  <c r="V68" i="22"/>
  <c r="AB68" i="22" s="1"/>
  <c r="X67" i="22"/>
  <c r="AD67" i="22" s="1"/>
  <c r="W67" i="22"/>
  <c r="AC67" i="22" s="1"/>
  <c r="V67" i="22"/>
  <c r="AB67" i="22" s="1"/>
  <c r="X66" i="22"/>
  <c r="AD66" i="22" s="1"/>
  <c r="W66" i="22"/>
  <c r="AC66" i="22" s="1"/>
  <c r="V66" i="22"/>
  <c r="AB66" i="22" s="1"/>
  <c r="X65" i="22"/>
  <c r="AD65" i="22" s="1"/>
  <c r="W65" i="22"/>
  <c r="AC65" i="22" s="1"/>
  <c r="V65" i="22"/>
  <c r="AB65" i="22" s="1"/>
  <c r="X64" i="22"/>
  <c r="AD64" i="22" s="1"/>
  <c r="W64" i="22"/>
  <c r="AC64" i="22" s="1"/>
  <c r="V64" i="22"/>
  <c r="AB64" i="22" s="1"/>
  <c r="X63" i="22"/>
  <c r="AD63" i="22" s="1"/>
  <c r="W63" i="22"/>
  <c r="AC63" i="22" s="1"/>
  <c r="V63" i="22"/>
  <c r="AB63" i="22" s="1"/>
  <c r="X62" i="22"/>
  <c r="AD62" i="22" s="1"/>
  <c r="W62" i="22"/>
  <c r="AC62" i="22" s="1"/>
  <c r="V62" i="22"/>
  <c r="AB62" i="22" s="1"/>
  <c r="X61" i="22"/>
  <c r="AD61" i="22" s="1"/>
  <c r="W61" i="22"/>
  <c r="AC61" i="22" s="1"/>
  <c r="V61" i="22"/>
  <c r="AB61" i="22" s="1"/>
  <c r="X60" i="22"/>
  <c r="AD60" i="22" s="1"/>
  <c r="W60" i="22"/>
  <c r="AC60" i="22" s="1"/>
  <c r="V60" i="22"/>
  <c r="AB60" i="22" s="1"/>
  <c r="X59" i="22"/>
  <c r="AD59" i="22" s="1"/>
  <c r="W59" i="22"/>
  <c r="AC59" i="22" s="1"/>
  <c r="V59" i="22"/>
  <c r="AB59" i="22" s="1"/>
  <c r="X58" i="22"/>
  <c r="AD58" i="22" s="1"/>
  <c r="W58" i="22"/>
  <c r="AC58" i="22" s="1"/>
  <c r="V58" i="22"/>
  <c r="AB58" i="22" s="1"/>
  <c r="X57" i="22"/>
  <c r="AD57" i="22" s="1"/>
  <c r="W57" i="22"/>
  <c r="AC57" i="22" s="1"/>
  <c r="V57" i="22"/>
  <c r="AB57" i="22" s="1"/>
  <c r="X56" i="22"/>
  <c r="AD56" i="22" s="1"/>
  <c r="W56" i="22"/>
  <c r="AC56" i="22" s="1"/>
  <c r="V56" i="22"/>
  <c r="AB56" i="22" s="1"/>
  <c r="X55" i="22"/>
  <c r="AD55" i="22" s="1"/>
  <c r="W55" i="22"/>
  <c r="AC55" i="22" s="1"/>
  <c r="V55" i="22"/>
  <c r="AB55" i="22" s="1"/>
  <c r="X54" i="22"/>
  <c r="AD54" i="22" s="1"/>
  <c r="W54" i="22"/>
  <c r="AC54" i="22" s="1"/>
  <c r="V54" i="22"/>
  <c r="AB54" i="22" s="1"/>
  <c r="X53" i="22"/>
  <c r="AD53" i="22" s="1"/>
  <c r="W53" i="22"/>
  <c r="AC53" i="22" s="1"/>
  <c r="V53" i="22"/>
  <c r="AB53" i="22" s="1"/>
  <c r="X52" i="22"/>
  <c r="AD52" i="22" s="1"/>
  <c r="W52" i="22"/>
  <c r="AC52" i="22" s="1"/>
  <c r="V52" i="22"/>
  <c r="AB52" i="22" s="1"/>
  <c r="X51" i="22"/>
  <c r="AD51" i="22" s="1"/>
  <c r="W51" i="22"/>
  <c r="AC51" i="22" s="1"/>
  <c r="V51" i="22"/>
  <c r="AB51" i="22" s="1"/>
  <c r="X50" i="22"/>
  <c r="AD50" i="22" s="1"/>
  <c r="W50" i="22"/>
  <c r="AC50" i="22" s="1"/>
  <c r="V50" i="22"/>
  <c r="AB50" i="22" s="1"/>
  <c r="X49" i="22"/>
  <c r="AD49" i="22" s="1"/>
  <c r="W49" i="22"/>
  <c r="AC49" i="22" s="1"/>
  <c r="V49" i="22"/>
  <c r="AB49" i="22" s="1"/>
  <c r="X48" i="22"/>
  <c r="AD48" i="22" s="1"/>
  <c r="W48" i="22"/>
  <c r="AC48" i="22" s="1"/>
  <c r="V48" i="22"/>
  <c r="AB48" i="22" s="1"/>
  <c r="X47" i="22"/>
  <c r="AD47" i="22" s="1"/>
  <c r="W47" i="22"/>
  <c r="AC47" i="22" s="1"/>
  <c r="V47" i="22"/>
  <c r="AB47" i="22" s="1"/>
  <c r="X46" i="22"/>
  <c r="AD46" i="22" s="1"/>
  <c r="W46" i="22"/>
  <c r="AC46" i="22" s="1"/>
  <c r="V46" i="22"/>
  <c r="AB46" i="22" s="1"/>
  <c r="X45" i="22"/>
  <c r="AD45" i="22" s="1"/>
  <c r="W45" i="22"/>
  <c r="AC45" i="22" s="1"/>
  <c r="V45" i="22"/>
  <c r="AB45" i="22" s="1"/>
  <c r="X44" i="22"/>
  <c r="AD44" i="22" s="1"/>
  <c r="W44" i="22"/>
  <c r="AC44" i="22" s="1"/>
  <c r="V44" i="22"/>
  <c r="AB44" i="22" s="1"/>
  <c r="X43" i="22"/>
  <c r="AD43" i="22" s="1"/>
  <c r="W43" i="22"/>
  <c r="AC43" i="22" s="1"/>
  <c r="V43" i="22"/>
  <c r="AB43" i="22" s="1"/>
  <c r="X42" i="22"/>
  <c r="AD42" i="22" s="1"/>
  <c r="W42" i="22"/>
  <c r="AC42" i="22" s="1"/>
  <c r="V42" i="22"/>
  <c r="AB42" i="22" s="1"/>
  <c r="X41" i="22"/>
  <c r="AD41" i="22" s="1"/>
  <c r="W41" i="22"/>
  <c r="AC41" i="22" s="1"/>
  <c r="V41" i="22"/>
  <c r="AB41" i="22" s="1"/>
  <c r="X40" i="22"/>
  <c r="AD40" i="22" s="1"/>
  <c r="W40" i="22"/>
  <c r="AC40" i="22" s="1"/>
  <c r="V40" i="22"/>
  <c r="AB40" i="22" s="1"/>
  <c r="X39" i="22"/>
  <c r="AD39" i="22" s="1"/>
  <c r="W39" i="22"/>
  <c r="AC39" i="22" s="1"/>
  <c r="V39" i="22"/>
  <c r="AB39" i="22" s="1"/>
  <c r="X38" i="22"/>
  <c r="AD38" i="22" s="1"/>
  <c r="W38" i="22"/>
  <c r="AC38" i="22" s="1"/>
  <c r="V38" i="22"/>
  <c r="AB38" i="22" s="1"/>
  <c r="X37" i="22"/>
  <c r="AD37" i="22" s="1"/>
  <c r="W37" i="22"/>
  <c r="AC37" i="22" s="1"/>
  <c r="V37" i="22"/>
  <c r="AB37" i="22" s="1"/>
  <c r="X36" i="22"/>
  <c r="AD36" i="22" s="1"/>
  <c r="W36" i="22"/>
  <c r="AC36" i="22" s="1"/>
  <c r="V36" i="22"/>
  <c r="AB36" i="22" s="1"/>
  <c r="X35" i="22"/>
  <c r="AD35" i="22" s="1"/>
  <c r="W35" i="22"/>
  <c r="AC35" i="22" s="1"/>
  <c r="V35" i="22"/>
  <c r="AB35" i="22" s="1"/>
  <c r="X34" i="22"/>
  <c r="AD34" i="22" s="1"/>
  <c r="W34" i="22"/>
  <c r="AC34" i="22" s="1"/>
  <c r="V34" i="22"/>
  <c r="AB34" i="22" s="1"/>
  <c r="X33" i="22"/>
  <c r="AD33" i="22" s="1"/>
  <c r="W33" i="22"/>
  <c r="AC33" i="22" s="1"/>
  <c r="V33" i="22"/>
  <c r="AB33" i="22" s="1"/>
  <c r="X32" i="22"/>
  <c r="AD32" i="22" s="1"/>
  <c r="W32" i="22"/>
  <c r="AC32" i="22" s="1"/>
  <c r="V32" i="22"/>
  <c r="AB32" i="22" s="1"/>
  <c r="X31" i="22"/>
  <c r="AD31" i="22" s="1"/>
  <c r="W31" i="22"/>
  <c r="AC31" i="22" s="1"/>
  <c r="V31" i="22"/>
  <c r="AB31" i="22" s="1"/>
  <c r="X30" i="22"/>
  <c r="AD30" i="22" s="1"/>
  <c r="W30" i="22"/>
  <c r="AC30" i="22" s="1"/>
  <c r="V30" i="22"/>
  <c r="AB30" i="22" s="1"/>
  <c r="X29" i="22"/>
  <c r="AD29" i="22" s="1"/>
  <c r="W29" i="22"/>
  <c r="AC29" i="22" s="1"/>
  <c r="V29" i="22"/>
  <c r="AB29" i="22" s="1"/>
  <c r="X28" i="22"/>
  <c r="AD28" i="22" s="1"/>
  <c r="W28" i="22"/>
  <c r="AC28" i="22" s="1"/>
  <c r="V28" i="22"/>
  <c r="AB28" i="22" s="1"/>
  <c r="X27" i="22"/>
  <c r="AD27" i="22" s="1"/>
  <c r="W27" i="22"/>
  <c r="AC27" i="22" s="1"/>
  <c r="V27" i="22"/>
  <c r="AB27" i="22" s="1"/>
  <c r="X26" i="22"/>
  <c r="AD26" i="22" s="1"/>
  <c r="W26" i="22"/>
  <c r="AC26" i="22" s="1"/>
  <c r="V26" i="22"/>
  <c r="AB26" i="22" s="1"/>
  <c r="X25" i="22"/>
  <c r="AD25" i="22" s="1"/>
  <c r="W25" i="22"/>
  <c r="AC25" i="22" s="1"/>
  <c r="V25" i="22"/>
  <c r="AB25" i="22" s="1"/>
  <c r="X24" i="22"/>
  <c r="AD24" i="22" s="1"/>
  <c r="W24" i="22"/>
  <c r="AC24" i="22" s="1"/>
  <c r="V24" i="22"/>
  <c r="AB24" i="22" s="1"/>
  <c r="X23" i="22"/>
  <c r="AD23" i="22" s="1"/>
  <c r="W23" i="22"/>
  <c r="AC23" i="22" s="1"/>
  <c r="V23" i="22"/>
  <c r="AB23" i="22" s="1"/>
  <c r="X22" i="22"/>
  <c r="AD22" i="22" s="1"/>
  <c r="W22" i="22"/>
  <c r="AC22" i="22" s="1"/>
  <c r="V22" i="22"/>
  <c r="AB22" i="22" s="1"/>
  <c r="X21" i="22"/>
  <c r="AD21" i="22" s="1"/>
  <c r="W21" i="22"/>
  <c r="AC21" i="22" s="1"/>
  <c r="V21" i="22"/>
  <c r="AB21" i="22" s="1"/>
  <c r="X20" i="22"/>
  <c r="AD20" i="22" s="1"/>
  <c r="W20" i="22"/>
  <c r="AC20" i="22" s="1"/>
  <c r="V20" i="22"/>
  <c r="AB20" i="22" s="1"/>
  <c r="X19" i="22"/>
  <c r="AD19" i="22" s="1"/>
  <c r="W19" i="22"/>
  <c r="AC19" i="22" s="1"/>
  <c r="V19" i="22"/>
  <c r="AB19" i="22" s="1"/>
  <c r="X18" i="22"/>
  <c r="AD18" i="22" s="1"/>
  <c r="W18" i="22"/>
  <c r="AC18" i="22" s="1"/>
  <c r="V18" i="22"/>
  <c r="AB18" i="22" s="1"/>
  <c r="X17" i="22"/>
  <c r="AD17" i="22" s="1"/>
  <c r="W17" i="22"/>
  <c r="AC17" i="22" s="1"/>
  <c r="V17" i="22"/>
  <c r="AB17" i="22" s="1"/>
  <c r="X16" i="22"/>
  <c r="AD16" i="22" s="1"/>
  <c r="W16" i="22"/>
  <c r="AC16" i="22" s="1"/>
  <c r="V16" i="22"/>
  <c r="AB16" i="22" s="1"/>
  <c r="X15" i="22"/>
  <c r="AD15" i="22" s="1"/>
  <c r="W15" i="22"/>
  <c r="AC15" i="22" s="1"/>
  <c r="V15" i="22"/>
  <c r="AB15" i="22" s="1"/>
  <c r="X14" i="22"/>
  <c r="AD14" i="22" s="1"/>
  <c r="W14" i="22"/>
  <c r="AC14" i="22" s="1"/>
  <c r="V14" i="22"/>
  <c r="AB14" i="22" s="1"/>
  <c r="X13" i="22"/>
  <c r="AD13" i="22" s="1"/>
  <c r="W13" i="22"/>
  <c r="AC13" i="22" s="1"/>
  <c r="V13" i="22"/>
  <c r="AB13" i="22" s="1"/>
  <c r="X12" i="22"/>
  <c r="AD12" i="22" s="1"/>
  <c r="W12" i="22"/>
  <c r="AC12" i="22" s="1"/>
  <c r="V12" i="22"/>
  <c r="AB12" i="22" s="1"/>
  <c r="X11" i="22"/>
  <c r="AD11" i="22" s="1"/>
  <c r="W11" i="22"/>
  <c r="AC11" i="22" s="1"/>
  <c r="V11" i="22"/>
  <c r="AB11" i="22" s="1"/>
  <c r="X10" i="22"/>
  <c r="AD10" i="22" s="1"/>
  <c r="W10" i="22"/>
  <c r="AC10" i="22" s="1"/>
  <c r="V10" i="22"/>
  <c r="AB10" i="22" s="1"/>
  <c r="X9" i="22"/>
  <c r="AD9" i="22" s="1"/>
  <c r="W9" i="22"/>
  <c r="AC9" i="22" s="1"/>
  <c r="V9" i="22"/>
  <c r="AB9" i="22" s="1"/>
  <c r="X8" i="22"/>
  <c r="AD8" i="22" s="1"/>
  <c r="W8" i="22"/>
  <c r="AC8" i="22" s="1"/>
  <c r="V8" i="22"/>
  <c r="AB8" i="22" s="1"/>
  <c r="X7" i="22"/>
  <c r="AD7" i="22" s="1"/>
  <c r="W7" i="22"/>
  <c r="AC7" i="22" s="1"/>
  <c r="V7" i="22"/>
  <c r="AB7" i="22" s="1"/>
  <c r="X6" i="22"/>
  <c r="AD6" i="22" s="1"/>
  <c r="W6" i="22"/>
  <c r="AC6" i="22" s="1"/>
  <c r="V6" i="22"/>
  <c r="AB6" i="22" s="1"/>
  <c r="AD51" i="6"/>
  <c r="AB51" i="6"/>
  <c r="AA51" i="6"/>
  <c r="Z51" i="6"/>
  <c r="X51" i="6"/>
  <c r="W51" i="6"/>
  <c r="V51" i="6"/>
  <c r="U51" i="6"/>
  <c r="AD50" i="6"/>
  <c r="AB50" i="6"/>
  <c r="AA50" i="6"/>
  <c r="Z50" i="6"/>
  <c r="X50" i="6"/>
  <c r="W50" i="6"/>
  <c r="V50" i="6"/>
  <c r="U50" i="6"/>
  <c r="AD49" i="6"/>
  <c r="AB49" i="6"/>
  <c r="AA49" i="6"/>
  <c r="AA49" i="7" s="1"/>
  <c r="Z49" i="6"/>
  <c r="X49" i="6"/>
  <c r="W49" i="6"/>
  <c r="V49" i="6"/>
  <c r="U49" i="6"/>
  <c r="AD48" i="6"/>
  <c r="AB48" i="6"/>
  <c r="AA48" i="6"/>
  <c r="Z48" i="6"/>
  <c r="X48" i="6"/>
  <c r="W48" i="6"/>
  <c r="V48" i="6"/>
  <c r="U48" i="6"/>
  <c r="AD47" i="6"/>
  <c r="AB47" i="6"/>
  <c r="AA47" i="6"/>
  <c r="Z47" i="6"/>
  <c r="X47" i="6"/>
  <c r="W47" i="6"/>
  <c r="V47" i="6"/>
  <c r="U47" i="6"/>
  <c r="AD46" i="6"/>
  <c r="AB46" i="6"/>
  <c r="AA46" i="6"/>
  <c r="Z46" i="6"/>
  <c r="X46" i="6"/>
  <c r="W46" i="6"/>
  <c r="V46" i="6"/>
  <c r="U46" i="6"/>
  <c r="AD45" i="6"/>
  <c r="AB45" i="6"/>
  <c r="AA45" i="6"/>
  <c r="AA45" i="7" s="1"/>
  <c r="Z45" i="6"/>
  <c r="X45" i="6"/>
  <c r="W45" i="6"/>
  <c r="V45" i="6"/>
  <c r="U45" i="6"/>
  <c r="AD44" i="6"/>
  <c r="AB44" i="6"/>
  <c r="AA44" i="6"/>
  <c r="Z44" i="6"/>
  <c r="X44" i="6"/>
  <c r="W44" i="6"/>
  <c r="V44" i="6"/>
  <c r="U44" i="6"/>
  <c r="AD43" i="6"/>
  <c r="AB43" i="6"/>
  <c r="AA43" i="6"/>
  <c r="Z43" i="6"/>
  <c r="X43" i="6"/>
  <c r="W43" i="6"/>
  <c r="V43" i="6"/>
  <c r="U43" i="6"/>
  <c r="AD42" i="6"/>
  <c r="AB42" i="6"/>
  <c r="AA42" i="6"/>
  <c r="Z42" i="6"/>
  <c r="X42" i="6"/>
  <c r="W42" i="6"/>
  <c r="V42" i="6"/>
  <c r="U42" i="6"/>
  <c r="AD41" i="6"/>
  <c r="AB41" i="6"/>
  <c r="AA41" i="6"/>
  <c r="AA41" i="7" s="1"/>
  <c r="Z41" i="6"/>
  <c r="X41" i="6"/>
  <c r="W41" i="6"/>
  <c r="V41" i="6"/>
  <c r="U41" i="6"/>
  <c r="AD40" i="6"/>
  <c r="AB40" i="6"/>
  <c r="AA40" i="6"/>
  <c r="Z40" i="6"/>
  <c r="X40" i="6"/>
  <c r="W40" i="6"/>
  <c r="V40" i="6"/>
  <c r="U40" i="6"/>
  <c r="AD39" i="6"/>
  <c r="AB39" i="6"/>
  <c r="AA39" i="6"/>
  <c r="Z39" i="6"/>
  <c r="X39" i="6"/>
  <c r="W39" i="6"/>
  <c r="V39" i="6"/>
  <c r="U39" i="6"/>
  <c r="AD38" i="6"/>
  <c r="AB38" i="6"/>
  <c r="AA38" i="6"/>
  <c r="Z38" i="6"/>
  <c r="X38" i="6"/>
  <c r="W38" i="6"/>
  <c r="V38" i="6"/>
  <c r="U38" i="6"/>
  <c r="AD37" i="6"/>
  <c r="AB37" i="6"/>
  <c r="AA37" i="6"/>
  <c r="AA37" i="7" s="1"/>
  <c r="Z37" i="6"/>
  <c r="X37" i="6"/>
  <c r="W37" i="6"/>
  <c r="V37" i="6"/>
  <c r="U37" i="6"/>
  <c r="AD36" i="6"/>
  <c r="AB36" i="6"/>
  <c r="AA36" i="6"/>
  <c r="Z36" i="6"/>
  <c r="X36" i="6"/>
  <c r="W36" i="6"/>
  <c r="V36" i="6"/>
  <c r="U36" i="6"/>
  <c r="AD35" i="6"/>
  <c r="AB35" i="6"/>
  <c r="AA35" i="6"/>
  <c r="Z35" i="6"/>
  <c r="X35" i="6"/>
  <c r="W35" i="6"/>
  <c r="V35" i="6"/>
  <c r="U35" i="6"/>
  <c r="AD34" i="6"/>
  <c r="AB34" i="6"/>
  <c r="AA34" i="6"/>
  <c r="Z34" i="6"/>
  <c r="X34" i="6"/>
  <c r="W34" i="6"/>
  <c r="V34" i="6"/>
  <c r="U34" i="6"/>
  <c r="AD33" i="6"/>
  <c r="AB33" i="6"/>
  <c r="AA33" i="6"/>
  <c r="AA33" i="7" s="1"/>
  <c r="Z33" i="6"/>
  <c r="X33" i="6"/>
  <c r="W33" i="6"/>
  <c r="V33" i="6"/>
  <c r="U33" i="6"/>
  <c r="AD32" i="6"/>
  <c r="AB32" i="6"/>
  <c r="AA32" i="6"/>
  <c r="Z32" i="6"/>
  <c r="X32" i="6"/>
  <c r="W32" i="6"/>
  <c r="V32" i="6"/>
  <c r="U32" i="6"/>
  <c r="AD31" i="6"/>
  <c r="AB31" i="6"/>
  <c r="AA31" i="6"/>
  <c r="Z31" i="6"/>
  <c r="X31" i="6"/>
  <c r="W31" i="6"/>
  <c r="V31" i="6"/>
  <c r="U31" i="6"/>
  <c r="AD30" i="6"/>
  <c r="AB30" i="6"/>
  <c r="AA30" i="6"/>
  <c r="Z30" i="6"/>
  <c r="X30" i="6"/>
  <c r="W30" i="6"/>
  <c r="V30" i="6"/>
  <c r="U30" i="6"/>
  <c r="AD29" i="6"/>
  <c r="AB29" i="6"/>
  <c r="AA29" i="6"/>
  <c r="AA29" i="7" s="1"/>
  <c r="Z29" i="6"/>
  <c r="X29" i="6"/>
  <c r="W29" i="6"/>
  <c r="V29" i="6"/>
  <c r="U29" i="6"/>
  <c r="AD28" i="6"/>
  <c r="AB28" i="6"/>
  <c r="AA28" i="6"/>
  <c r="Z28" i="6"/>
  <c r="X28" i="6"/>
  <c r="W28" i="6"/>
  <c r="V28" i="6"/>
  <c r="U28" i="6"/>
  <c r="AD27" i="6"/>
  <c r="AB27" i="6"/>
  <c r="AA27" i="6"/>
  <c r="Z27" i="6"/>
  <c r="X27" i="6"/>
  <c r="W27" i="6"/>
  <c r="V27" i="6"/>
  <c r="U27" i="6"/>
  <c r="AD26" i="6"/>
  <c r="AB26" i="6"/>
  <c r="AA26" i="6"/>
  <c r="Z26" i="6"/>
  <c r="X26" i="6"/>
  <c r="W26" i="6"/>
  <c r="V26" i="6"/>
  <c r="U26" i="6"/>
  <c r="AD25" i="6"/>
  <c r="AC25" i="6"/>
  <c r="AB25" i="6"/>
  <c r="AA25" i="6"/>
  <c r="AA25" i="7" s="1"/>
  <c r="Z25" i="6"/>
  <c r="Y25" i="6"/>
  <c r="X25" i="6"/>
  <c r="W25" i="6"/>
  <c r="V25" i="6"/>
  <c r="U25" i="6"/>
  <c r="AD24" i="6"/>
  <c r="AB24" i="6"/>
  <c r="AA24" i="6"/>
  <c r="Z24" i="6"/>
  <c r="X24" i="6"/>
  <c r="W24" i="6"/>
  <c r="V24" i="6"/>
  <c r="U24" i="6"/>
  <c r="AD23" i="6"/>
  <c r="AB23" i="6"/>
  <c r="AA23" i="6"/>
  <c r="Z23" i="6"/>
  <c r="X23" i="6"/>
  <c r="W23" i="6"/>
  <c r="V23" i="6"/>
  <c r="U23" i="6"/>
  <c r="AD22" i="6"/>
  <c r="AB22" i="6"/>
  <c r="AA22" i="6"/>
  <c r="Z22" i="6"/>
  <c r="X22" i="6"/>
  <c r="W22" i="6"/>
  <c r="V22" i="6"/>
  <c r="U22" i="6"/>
  <c r="AD21" i="6"/>
  <c r="AB21" i="6"/>
  <c r="AA21" i="6"/>
  <c r="AA21" i="7" s="1"/>
  <c r="Z21" i="6"/>
  <c r="X21" i="6"/>
  <c r="W21" i="6"/>
  <c r="V21" i="6"/>
  <c r="U21" i="6"/>
  <c r="AD20" i="6"/>
  <c r="AC20" i="6"/>
  <c r="AB20" i="6"/>
  <c r="AA20" i="6"/>
  <c r="Z20" i="6"/>
  <c r="Y20" i="6"/>
  <c r="X20" i="6"/>
  <c r="W20" i="6"/>
  <c r="V20" i="6"/>
  <c r="U20" i="6"/>
  <c r="AD19" i="6"/>
  <c r="AC19" i="6"/>
  <c r="AB19" i="6"/>
  <c r="AA19" i="6"/>
  <c r="Z19" i="6"/>
  <c r="Y19" i="6"/>
  <c r="X19" i="6"/>
  <c r="W19" i="6"/>
  <c r="V19" i="6"/>
  <c r="U19" i="6"/>
  <c r="AD18" i="6"/>
  <c r="AC18" i="6"/>
  <c r="AB18" i="6"/>
  <c r="AA18" i="6"/>
  <c r="Z18" i="6"/>
  <c r="Y18" i="6"/>
  <c r="X18" i="6"/>
  <c r="W18" i="6"/>
  <c r="V18" i="6"/>
  <c r="U18" i="6"/>
  <c r="AD17" i="6"/>
  <c r="AC17" i="6"/>
  <c r="AB17" i="6"/>
  <c r="AA17" i="6"/>
  <c r="AA17" i="7" s="1"/>
  <c r="Z17" i="6"/>
  <c r="Y17" i="6"/>
  <c r="X17" i="6"/>
  <c r="W17" i="6"/>
  <c r="V17" i="6"/>
  <c r="U17" i="6"/>
  <c r="AD16" i="6"/>
  <c r="AC16" i="6"/>
  <c r="AB16" i="6"/>
  <c r="AA16" i="6"/>
  <c r="Z16" i="6"/>
  <c r="Y16" i="6"/>
  <c r="X16" i="6"/>
  <c r="W16" i="6"/>
  <c r="V16" i="6"/>
  <c r="U16" i="6"/>
  <c r="AD15" i="6"/>
  <c r="AC15" i="6"/>
  <c r="AB15" i="6"/>
  <c r="AA15" i="6"/>
  <c r="Z15" i="6"/>
  <c r="Y15" i="6"/>
  <c r="X15" i="6"/>
  <c r="W15" i="6"/>
  <c r="V15" i="6"/>
  <c r="U15" i="6"/>
  <c r="AD14" i="6"/>
  <c r="AC14" i="6"/>
  <c r="AB14" i="6"/>
  <c r="AA14" i="6"/>
  <c r="Z14" i="6"/>
  <c r="Y14" i="6"/>
  <c r="X14" i="6"/>
  <c r="W14" i="6"/>
  <c r="V14" i="6"/>
  <c r="U14" i="6"/>
  <c r="AD13" i="6"/>
  <c r="AC13" i="6"/>
  <c r="AB13" i="6"/>
  <c r="AA13" i="6"/>
  <c r="AA13" i="7" s="1"/>
  <c r="Z13" i="6"/>
  <c r="Y13" i="6"/>
  <c r="X13" i="6"/>
  <c r="W13" i="6"/>
  <c r="V13" i="6"/>
  <c r="U13" i="6"/>
  <c r="AD12" i="6"/>
  <c r="AC12" i="6"/>
  <c r="AB12" i="6"/>
  <c r="AA12" i="6"/>
  <c r="Z12" i="6"/>
  <c r="Y12" i="6"/>
  <c r="X12" i="6"/>
  <c r="W12" i="6"/>
  <c r="V12" i="6"/>
  <c r="U12" i="6"/>
  <c r="AD11" i="6"/>
  <c r="AC11" i="6"/>
  <c r="AB11" i="6"/>
  <c r="AA11" i="6"/>
  <c r="Z11" i="6"/>
  <c r="Y11" i="6"/>
  <c r="X11" i="6"/>
  <c r="W11" i="6"/>
  <c r="V11" i="6"/>
  <c r="U11" i="6"/>
  <c r="AD10" i="6"/>
  <c r="AC10" i="6"/>
  <c r="AB10" i="6"/>
  <c r="AA10" i="6"/>
  <c r="Z10" i="6"/>
  <c r="Y10" i="6"/>
  <c r="X10" i="6"/>
  <c r="W10" i="6"/>
  <c r="V10" i="6"/>
  <c r="U10" i="6"/>
  <c r="AD9" i="6"/>
  <c r="AC9" i="6"/>
  <c r="AB9" i="6"/>
  <c r="AA9" i="6"/>
  <c r="AA9" i="7" s="1"/>
  <c r="Z9" i="6"/>
  <c r="Y9" i="6"/>
  <c r="X9" i="6"/>
  <c r="W9" i="6"/>
  <c r="V9" i="6"/>
  <c r="U9" i="6"/>
  <c r="AD8" i="6"/>
  <c r="AC8" i="6"/>
  <c r="AB8" i="6"/>
  <c r="AA8" i="6"/>
  <c r="Z8" i="6"/>
  <c r="Y8" i="6"/>
  <c r="X8" i="6"/>
  <c r="W8" i="6"/>
  <c r="V8" i="6"/>
  <c r="U8" i="6"/>
  <c r="AD7" i="6"/>
  <c r="AC7" i="6"/>
  <c r="AB7" i="6"/>
  <c r="AA7" i="6"/>
  <c r="Z7" i="6"/>
  <c r="Y7" i="6"/>
  <c r="X7" i="6"/>
  <c r="W7" i="6"/>
  <c r="V7" i="6"/>
  <c r="U7" i="6"/>
  <c r="AD6" i="6"/>
  <c r="AC6" i="6"/>
  <c r="AB6" i="6"/>
  <c r="AA6" i="6"/>
  <c r="Z6" i="6"/>
  <c r="Y6" i="6"/>
  <c r="X6" i="6"/>
  <c r="W6" i="6"/>
  <c r="V6" i="6"/>
  <c r="U6" i="6"/>
  <c r="AD5" i="6"/>
  <c r="AC5" i="6"/>
  <c r="AB5" i="6"/>
  <c r="AA5" i="6"/>
  <c r="AA5" i="7" s="1"/>
  <c r="Z5" i="6"/>
  <c r="Y5" i="6"/>
  <c r="X5" i="6"/>
  <c r="W5" i="6"/>
  <c r="V5" i="6"/>
  <c r="U5" i="6"/>
  <c r="AP51" i="14"/>
  <c r="AC51" i="14"/>
  <c r="AC51" i="6" s="1"/>
  <c r="Y51" i="14"/>
  <c r="Y51" i="6" s="1"/>
  <c r="AP50" i="14"/>
  <c r="AC50" i="14"/>
  <c r="AC50" i="6" s="1"/>
  <c r="Y50" i="14"/>
  <c r="Y50" i="6" s="1"/>
  <c r="AP49" i="14"/>
  <c r="AC49" i="14"/>
  <c r="AC49" i="6" s="1"/>
  <c r="Y49" i="14"/>
  <c r="Y49" i="6" s="1"/>
  <c r="AP48" i="14"/>
  <c r="AC48" i="14"/>
  <c r="AC48" i="6" s="1"/>
  <c r="Y48" i="14"/>
  <c r="Y48" i="6" s="1"/>
  <c r="AP47" i="14"/>
  <c r="AC47" i="14"/>
  <c r="AC47" i="6" s="1"/>
  <c r="Y47" i="14"/>
  <c r="Y47" i="6" s="1"/>
  <c r="AP46" i="14"/>
  <c r="AC46" i="14"/>
  <c r="AC46" i="6" s="1"/>
  <c r="Y46" i="14"/>
  <c r="Y46" i="6" s="1"/>
  <c r="AP45" i="14"/>
  <c r="AC45" i="14"/>
  <c r="AC45" i="6" s="1"/>
  <c r="Y45" i="14"/>
  <c r="Y45" i="6" s="1"/>
  <c r="AP44" i="14"/>
  <c r="AC44" i="14"/>
  <c r="AC44" i="6" s="1"/>
  <c r="Y44" i="14"/>
  <c r="Y44" i="6" s="1"/>
  <c r="AP43" i="14"/>
  <c r="AC43" i="14"/>
  <c r="AC43" i="6" s="1"/>
  <c r="Y43" i="14"/>
  <c r="Y43" i="6" s="1"/>
  <c r="AP42" i="14"/>
  <c r="AC42" i="14"/>
  <c r="AC42" i="6" s="1"/>
  <c r="Y42" i="14"/>
  <c r="Y42" i="6" s="1"/>
  <c r="AP41" i="14"/>
  <c r="AC41" i="14"/>
  <c r="AC41" i="6" s="1"/>
  <c r="Y41" i="14"/>
  <c r="Y41" i="6" s="1"/>
  <c r="AP40" i="14"/>
  <c r="AC40" i="14"/>
  <c r="AC40" i="6" s="1"/>
  <c r="Y40" i="14"/>
  <c r="Y40" i="6" s="1"/>
  <c r="AP39" i="14"/>
  <c r="AC39" i="14"/>
  <c r="AC39" i="6" s="1"/>
  <c r="Y39" i="14"/>
  <c r="Y39" i="6" s="1"/>
  <c r="AP38" i="14"/>
  <c r="AC38" i="14"/>
  <c r="AC38" i="6" s="1"/>
  <c r="Y38" i="14"/>
  <c r="Y38" i="6" s="1"/>
  <c r="AP37" i="14"/>
  <c r="AC37" i="14"/>
  <c r="AC37" i="6" s="1"/>
  <c r="Y37" i="14"/>
  <c r="Y37" i="6" s="1"/>
  <c r="AP36" i="14"/>
  <c r="AC36" i="14"/>
  <c r="AC36" i="6" s="1"/>
  <c r="Y36" i="14"/>
  <c r="Y36" i="6" s="1"/>
  <c r="AP35" i="14"/>
  <c r="AC35" i="14"/>
  <c r="AC35" i="6" s="1"/>
  <c r="Y35" i="14"/>
  <c r="Y35" i="6" s="1"/>
  <c r="AP34" i="14"/>
  <c r="AC34" i="14"/>
  <c r="AC34" i="6" s="1"/>
  <c r="Y34" i="14"/>
  <c r="Y34" i="6" s="1"/>
  <c r="AP33" i="14"/>
  <c r="AC33" i="14"/>
  <c r="AC33" i="6" s="1"/>
  <c r="Y33" i="14"/>
  <c r="Y33" i="6" s="1"/>
  <c r="AP32" i="14"/>
  <c r="AC32" i="14"/>
  <c r="AC32" i="6" s="1"/>
  <c r="Y32" i="14"/>
  <c r="Y32" i="6" s="1"/>
  <c r="AP31" i="14"/>
  <c r="AC31" i="14"/>
  <c r="AC31" i="6" s="1"/>
  <c r="Y31" i="14"/>
  <c r="Y31" i="6" s="1"/>
  <c r="AP30" i="14"/>
  <c r="AC30" i="14"/>
  <c r="AC30" i="6" s="1"/>
  <c r="Y30" i="14"/>
  <c r="Y30" i="6" s="1"/>
  <c r="AP29" i="14"/>
  <c r="AC29" i="14"/>
  <c r="AC29" i="6" s="1"/>
  <c r="Y29" i="14"/>
  <c r="Y29" i="6" s="1"/>
  <c r="AP28" i="14"/>
  <c r="AC28" i="14"/>
  <c r="AC28" i="6" s="1"/>
  <c r="Y28" i="14"/>
  <c r="Y28" i="6" s="1"/>
  <c r="AP27" i="14"/>
  <c r="AC27" i="14"/>
  <c r="AC27" i="6" s="1"/>
  <c r="Y27" i="14"/>
  <c r="Y27" i="6" s="1"/>
  <c r="AP26" i="14"/>
  <c r="AC26" i="14"/>
  <c r="AC26" i="6" s="1"/>
  <c r="Y26" i="14"/>
  <c r="Y26" i="6" s="1"/>
  <c r="AP24" i="14"/>
  <c r="AC24" i="14"/>
  <c r="AC24" i="6" s="1"/>
  <c r="Y24" i="14"/>
  <c r="Y24" i="6" s="1"/>
  <c r="AP23" i="14"/>
  <c r="AC23" i="14"/>
  <c r="AC23" i="6" s="1"/>
  <c r="Y23" i="14"/>
  <c r="Y23" i="6" s="1"/>
  <c r="AP22" i="14"/>
  <c r="AC22" i="14"/>
  <c r="AC22" i="6" s="1"/>
  <c r="Y22" i="14"/>
  <c r="Y22" i="6" s="1"/>
  <c r="AP21" i="14"/>
  <c r="AC21" i="14"/>
  <c r="AC21" i="6" s="1"/>
  <c r="Y21" i="14"/>
  <c r="Y21" i="6" s="1"/>
  <c r="X46" i="13"/>
  <c r="V46" i="13"/>
  <c r="T46" i="13"/>
  <c r="P46" i="13"/>
  <c r="O46" i="13"/>
  <c r="N46" i="13"/>
  <c r="M46" i="13"/>
  <c r="V45" i="13"/>
  <c r="U45" i="13"/>
  <c r="T45" i="13"/>
  <c r="P45" i="13"/>
  <c r="O45" i="13"/>
  <c r="N45" i="13"/>
  <c r="M45" i="13"/>
  <c r="X44" i="13"/>
  <c r="V44" i="13"/>
  <c r="U44" i="13"/>
  <c r="T44" i="13"/>
  <c r="P44" i="13"/>
  <c r="O44" i="13"/>
  <c r="N44" i="13"/>
  <c r="M44" i="13"/>
  <c r="X46" i="12"/>
  <c r="V46" i="12"/>
  <c r="T46" i="12"/>
  <c r="P46" i="12"/>
  <c r="O46" i="12"/>
  <c r="N46" i="12"/>
  <c r="M46" i="12"/>
  <c r="V45" i="12"/>
  <c r="U45" i="12"/>
  <c r="T45" i="12"/>
  <c r="P45" i="12"/>
  <c r="O45" i="12"/>
  <c r="N45" i="12"/>
  <c r="M45" i="12"/>
  <c r="X44" i="12"/>
  <c r="V44" i="12"/>
  <c r="V48" i="12" s="1"/>
  <c r="U44" i="12"/>
  <c r="U48" i="12" s="1"/>
  <c r="T44" i="12"/>
  <c r="T48" i="12" s="1"/>
  <c r="P44" i="12"/>
  <c r="P48" i="12" s="1"/>
  <c r="O44" i="12"/>
  <c r="O48" i="12" s="1"/>
  <c r="N44" i="12"/>
  <c r="N48" i="12" s="1"/>
  <c r="M44" i="12"/>
  <c r="M48" i="12" s="1"/>
  <c r="Y41" i="11"/>
  <c r="Y40" i="11"/>
  <c r="Y39" i="11"/>
  <c r="Y38" i="11"/>
  <c r="Y37" i="11"/>
  <c r="Y36" i="11"/>
  <c r="Y35" i="11"/>
  <c r="Y34" i="11"/>
  <c r="Y33" i="11"/>
  <c r="Y32" i="11"/>
  <c r="Y31" i="11"/>
  <c r="Y30" i="11"/>
  <c r="Y29" i="11"/>
  <c r="Y28" i="11"/>
  <c r="Y27" i="11"/>
  <c r="Y26" i="11"/>
  <c r="Y25" i="11"/>
  <c r="Y24" i="11"/>
  <c r="Y23" i="11"/>
  <c r="Y22" i="11"/>
  <c r="Y21" i="11"/>
  <c r="Y20" i="11"/>
  <c r="Y19" i="11"/>
  <c r="Y18" i="11"/>
  <c r="Y17" i="11"/>
  <c r="Y16" i="11"/>
  <c r="Y15" i="11"/>
  <c r="Y14" i="11"/>
  <c r="Y13" i="11"/>
  <c r="Y12" i="11"/>
  <c r="Y11" i="11"/>
  <c r="Y10" i="11"/>
  <c r="Y9" i="11"/>
  <c r="Y8" i="11"/>
  <c r="Y7" i="11"/>
  <c r="Y6" i="11"/>
  <c r="Y5" i="11"/>
  <c r="X46" i="11"/>
  <c r="V46" i="11"/>
  <c r="T46" i="11"/>
  <c r="P46" i="11"/>
  <c r="O46" i="11"/>
  <c r="N46" i="11"/>
  <c r="M46" i="11"/>
  <c r="V45" i="11"/>
  <c r="U45" i="11"/>
  <c r="T45" i="11"/>
  <c r="P45" i="11"/>
  <c r="O45" i="11"/>
  <c r="N45" i="11"/>
  <c r="M45" i="11"/>
  <c r="X44" i="11"/>
  <c r="V44" i="11"/>
  <c r="V48" i="11" s="1"/>
  <c r="U44" i="11"/>
  <c r="U48" i="11" s="1"/>
  <c r="T44" i="11"/>
  <c r="T48" i="11" s="1"/>
  <c r="P44" i="11"/>
  <c r="P48" i="11" s="1"/>
  <c r="O44" i="11"/>
  <c r="O48" i="11" s="1"/>
  <c r="N44" i="11"/>
  <c r="N48" i="11" s="1"/>
  <c r="M44" i="11"/>
  <c r="M48" i="11" s="1"/>
  <c r="X46" i="10"/>
  <c r="X44" i="10"/>
  <c r="V46" i="10"/>
  <c r="V45" i="10"/>
  <c r="V44" i="10"/>
  <c r="U45" i="10"/>
  <c r="U44" i="10"/>
  <c r="T46" i="10"/>
  <c r="T45" i="10"/>
  <c r="T44" i="10"/>
  <c r="R47" i="10"/>
  <c r="P46" i="10"/>
  <c r="P45" i="10"/>
  <c r="P44" i="10"/>
  <c r="O46" i="10"/>
  <c r="O45" i="10"/>
  <c r="O44" i="10"/>
  <c r="N46" i="10"/>
  <c r="N45" i="10"/>
  <c r="N44" i="10"/>
  <c r="M46" i="10"/>
  <c r="M45" i="10"/>
  <c r="M44" i="10"/>
  <c r="Z41" i="10"/>
  <c r="Z40" i="10"/>
  <c r="Z39" i="10"/>
  <c r="Z38" i="10"/>
  <c r="Z37" i="10"/>
  <c r="Z36" i="10"/>
  <c r="Z35" i="10"/>
  <c r="Z34" i="10"/>
  <c r="Z33" i="10"/>
  <c r="Z32" i="10"/>
  <c r="Z31" i="10"/>
  <c r="Z30" i="10"/>
  <c r="Z29" i="10"/>
  <c r="Z28" i="10"/>
  <c r="Z27" i="10"/>
  <c r="Z26" i="10"/>
  <c r="Z25" i="10"/>
  <c r="Z24" i="10"/>
  <c r="Z23" i="10"/>
  <c r="Z22" i="10"/>
  <c r="Z21" i="10"/>
  <c r="Z20" i="10"/>
  <c r="Z19" i="10"/>
  <c r="Z18" i="10"/>
  <c r="Z17" i="10"/>
  <c r="Z16" i="10"/>
  <c r="Z14" i="10"/>
  <c r="Z13" i="10"/>
  <c r="Z12" i="10"/>
  <c r="Z11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4" i="10"/>
  <c r="V13" i="10"/>
  <c r="V12" i="10"/>
  <c r="V11" i="10"/>
  <c r="U41" i="10"/>
  <c r="U40" i="10"/>
  <c r="U39" i="10"/>
  <c r="U38" i="10"/>
  <c r="U37" i="10"/>
  <c r="U36" i="10"/>
  <c r="U35" i="10"/>
  <c r="U34" i="10"/>
  <c r="U33" i="10"/>
  <c r="U32" i="10"/>
  <c r="U31" i="10"/>
  <c r="U30" i="10"/>
  <c r="U29" i="10"/>
  <c r="U28" i="10"/>
  <c r="U27" i="10"/>
  <c r="U26" i="10"/>
  <c r="U25" i="10"/>
  <c r="U24" i="10"/>
  <c r="U23" i="10"/>
  <c r="U22" i="10"/>
  <c r="U21" i="10"/>
  <c r="U20" i="10"/>
  <c r="U19" i="10"/>
  <c r="U18" i="10"/>
  <c r="U17" i="10"/>
  <c r="U16" i="10"/>
  <c r="U14" i="10"/>
  <c r="U13" i="10"/>
  <c r="U12" i="10"/>
  <c r="U11" i="10"/>
  <c r="T41" i="10"/>
  <c r="T40" i="10"/>
  <c r="T39" i="10"/>
  <c r="T38" i="10"/>
  <c r="T37" i="10"/>
  <c r="T36" i="10"/>
  <c r="T35" i="10"/>
  <c r="T34" i="10"/>
  <c r="T33" i="10"/>
  <c r="T32" i="10"/>
  <c r="T31" i="10"/>
  <c r="T30" i="10"/>
  <c r="T29" i="10"/>
  <c r="T28" i="10"/>
  <c r="T27" i="10"/>
  <c r="T26" i="10"/>
  <c r="T25" i="10"/>
  <c r="T24" i="10"/>
  <c r="T23" i="10"/>
  <c r="T22" i="10"/>
  <c r="T21" i="10"/>
  <c r="T20" i="10"/>
  <c r="T19" i="10"/>
  <c r="T18" i="10"/>
  <c r="T17" i="10"/>
  <c r="T16" i="10"/>
  <c r="T14" i="10"/>
  <c r="T13" i="10"/>
  <c r="T12" i="10"/>
  <c r="T11" i="10"/>
  <c r="R41" i="10"/>
  <c r="R40" i="10"/>
  <c r="R39" i="10"/>
  <c r="R38" i="10"/>
  <c r="R37" i="10"/>
  <c r="R36" i="10"/>
  <c r="R35" i="10"/>
  <c r="R34" i="10"/>
  <c r="R33" i="10"/>
  <c r="R32" i="10"/>
  <c r="R31" i="10"/>
  <c r="R30" i="10"/>
  <c r="R29" i="10"/>
  <c r="R28" i="10"/>
  <c r="R27" i="10"/>
  <c r="R26" i="10"/>
  <c r="R25" i="10"/>
  <c r="R24" i="10"/>
  <c r="R23" i="10"/>
  <c r="R22" i="10"/>
  <c r="R21" i="10"/>
  <c r="R20" i="10"/>
  <c r="R19" i="10"/>
  <c r="R18" i="10"/>
  <c r="R17" i="10"/>
  <c r="R16" i="10"/>
  <c r="R14" i="10"/>
  <c r="R13" i="10"/>
  <c r="R12" i="10"/>
  <c r="R11" i="10"/>
  <c r="P41" i="10"/>
  <c r="P40" i="10"/>
  <c r="P39" i="10"/>
  <c r="P38" i="10"/>
  <c r="P37" i="10"/>
  <c r="P36" i="10"/>
  <c r="P35" i="10"/>
  <c r="P34" i="10"/>
  <c r="P33" i="10"/>
  <c r="P32" i="10"/>
  <c r="P31" i="10"/>
  <c r="P30" i="10"/>
  <c r="P29" i="10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4" i="10"/>
  <c r="P13" i="10"/>
  <c r="P12" i="10"/>
  <c r="P11" i="10"/>
  <c r="O41" i="10"/>
  <c r="O40" i="10"/>
  <c r="O39" i="10"/>
  <c r="O38" i="10"/>
  <c r="O37" i="10"/>
  <c r="O36" i="10"/>
  <c r="O35" i="10"/>
  <c r="O34" i="10"/>
  <c r="O33" i="10"/>
  <c r="O32" i="10"/>
  <c r="O31" i="10"/>
  <c r="O30" i="10"/>
  <c r="O29" i="10"/>
  <c r="O28" i="10"/>
  <c r="O27" i="10"/>
  <c r="O26" i="10"/>
  <c r="O25" i="10"/>
  <c r="O24" i="10"/>
  <c r="O23" i="10"/>
  <c r="O22" i="10"/>
  <c r="O21" i="10"/>
  <c r="O20" i="10"/>
  <c r="O19" i="10"/>
  <c r="O18" i="10"/>
  <c r="O17" i="10"/>
  <c r="O16" i="10"/>
  <c r="O14" i="10"/>
  <c r="O13" i="10"/>
  <c r="O12" i="10"/>
  <c r="O11" i="10"/>
  <c r="N41" i="10"/>
  <c r="N40" i="10"/>
  <c r="N39" i="10"/>
  <c r="N38" i="10"/>
  <c r="N37" i="10"/>
  <c r="N36" i="10"/>
  <c r="N35" i="10"/>
  <c r="N34" i="10"/>
  <c r="N33" i="10"/>
  <c r="N32" i="10"/>
  <c r="N31" i="10"/>
  <c r="N30" i="10"/>
  <c r="N29" i="10"/>
  <c r="N28" i="10"/>
  <c r="N27" i="10"/>
  <c r="N26" i="10"/>
  <c r="N25" i="10"/>
  <c r="N24" i="10"/>
  <c r="N23" i="10"/>
  <c r="N22" i="10"/>
  <c r="N21" i="10"/>
  <c r="N20" i="10"/>
  <c r="N19" i="10"/>
  <c r="N18" i="10"/>
  <c r="N17" i="10"/>
  <c r="N16" i="10"/>
  <c r="N14" i="10"/>
  <c r="N13" i="10"/>
  <c r="N12" i="10"/>
  <c r="N11" i="10"/>
  <c r="M41" i="10"/>
  <c r="M40" i="10"/>
  <c r="M39" i="10"/>
  <c r="M38" i="10"/>
  <c r="M37" i="10"/>
  <c r="M36" i="10"/>
  <c r="M35" i="10"/>
  <c r="M34" i="10"/>
  <c r="M33" i="10"/>
  <c r="M32" i="10"/>
  <c r="M31" i="10"/>
  <c r="M30" i="10"/>
  <c r="M29" i="10"/>
  <c r="M28" i="10"/>
  <c r="M27" i="10"/>
  <c r="M26" i="10"/>
  <c r="M25" i="10"/>
  <c r="M24" i="10"/>
  <c r="M23" i="10"/>
  <c r="M22" i="10"/>
  <c r="M21" i="10"/>
  <c r="M20" i="10"/>
  <c r="M19" i="10"/>
  <c r="M18" i="10"/>
  <c r="M17" i="10"/>
  <c r="M16" i="10"/>
  <c r="M14" i="10"/>
  <c r="M13" i="10"/>
  <c r="M12" i="10"/>
  <c r="M11" i="10"/>
  <c r="L41" i="10"/>
  <c r="L40" i="10"/>
  <c r="L39" i="10"/>
  <c r="L38" i="10"/>
  <c r="L37" i="10"/>
  <c r="L36" i="10"/>
  <c r="L35" i="10"/>
  <c r="L34" i="10"/>
  <c r="L33" i="10"/>
  <c r="L32" i="10"/>
  <c r="L31" i="10"/>
  <c r="L30" i="10"/>
  <c r="L29" i="10"/>
  <c r="L28" i="10"/>
  <c r="L27" i="10"/>
  <c r="L26" i="10"/>
  <c r="L25" i="10"/>
  <c r="L24" i="10"/>
  <c r="L23" i="10"/>
  <c r="L22" i="10"/>
  <c r="L21" i="10"/>
  <c r="L20" i="10"/>
  <c r="L19" i="10"/>
  <c r="L18" i="10"/>
  <c r="L17" i="10"/>
  <c r="L16" i="10"/>
  <c r="L14" i="10"/>
  <c r="L13" i="10"/>
  <c r="L12" i="10"/>
  <c r="L11" i="10"/>
  <c r="AK56" i="9"/>
  <c r="AF56" i="9"/>
  <c r="AP54" i="9" s="1"/>
  <c r="AE56" i="9"/>
  <c r="AO54" i="9" s="1"/>
  <c r="AC56" i="9"/>
  <c r="Y56" i="9"/>
  <c r="X56" i="9"/>
  <c r="W56" i="9"/>
  <c r="S56" i="9"/>
  <c r="R56" i="9"/>
  <c r="Q56" i="9"/>
  <c r="P56" i="9"/>
  <c r="O56" i="9"/>
  <c r="M56" i="9"/>
  <c r="L56" i="9"/>
  <c r="AK55" i="9"/>
  <c r="AF55" i="9"/>
  <c r="AC55" i="9"/>
  <c r="AA55" i="9"/>
  <c r="Z55" i="9"/>
  <c r="Y55" i="9"/>
  <c r="X55" i="9"/>
  <c r="W55" i="9"/>
  <c r="V55" i="9"/>
  <c r="U55" i="9"/>
  <c r="S55" i="9"/>
  <c r="R55" i="9"/>
  <c r="Q55" i="9"/>
  <c r="P55" i="9"/>
  <c r="O55" i="9"/>
  <c r="M55" i="9"/>
  <c r="L55" i="9"/>
  <c r="AL57" i="8"/>
  <c r="AG57" i="8"/>
  <c r="AD57" i="8"/>
  <c r="AB57" i="8"/>
  <c r="T57" i="8"/>
  <c r="AK56" i="8"/>
  <c r="AF56" i="8"/>
  <c r="AE56" i="8"/>
  <c r="AC56" i="8"/>
  <c r="Y56" i="8"/>
  <c r="X56" i="8"/>
  <c r="W56" i="8"/>
  <c r="S56" i="8"/>
  <c r="R56" i="8"/>
  <c r="Q56" i="8"/>
  <c r="P56" i="8"/>
  <c r="O56" i="8"/>
  <c r="M56" i="8"/>
  <c r="L56" i="8"/>
  <c r="AK55" i="8"/>
  <c r="AF55" i="8"/>
  <c r="AP54" i="8" s="1"/>
  <c r="AC55" i="8"/>
  <c r="AA55" i="8"/>
  <c r="Z55" i="8"/>
  <c r="Y55" i="8"/>
  <c r="X55" i="8"/>
  <c r="W55" i="8"/>
  <c r="V55" i="8"/>
  <c r="U55" i="8"/>
  <c r="S55" i="8"/>
  <c r="R55" i="8"/>
  <c r="Q55" i="8"/>
  <c r="P55" i="8"/>
  <c r="O55" i="8"/>
  <c r="M55" i="8"/>
  <c r="L55" i="8"/>
  <c r="AL57" i="7"/>
  <c r="AG57" i="7"/>
  <c r="AD57" i="7"/>
  <c r="AB57" i="7"/>
  <c r="T57" i="7"/>
  <c r="AG51" i="7"/>
  <c r="AA51" i="7"/>
  <c r="Z51" i="7"/>
  <c r="AG50" i="7"/>
  <c r="AA50" i="7"/>
  <c r="Z50" i="7"/>
  <c r="AG49" i="7"/>
  <c r="Z49" i="7"/>
  <c r="AG48" i="7"/>
  <c r="AA48" i="7"/>
  <c r="Z48" i="7"/>
  <c r="AG47" i="7"/>
  <c r="AA47" i="7"/>
  <c r="Z47" i="7"/>
  <c r="AG46" i="7"/>
  <c r="AA46" i="7"/>
  <c r="Z46" i="7"/>
  <c r="AG45" i="7"/>
  <c r="Z45" i="7"/>
  <c r="AG44" i="7"/>
  <c r="AA44" i="7"/>
  <c r="Z44" i="7"/>
  <c r="AG43" i="7"/>
  <c r="AA43" i="7"/>
  <c r="Z43" i="7"/>
  <c r="AG42" i="7"/>
  <c r="AA42" i="7"/>
  <c r="Z42" i="7"/>
  <c r="AG41" i="7"/>
  <c r="Z41" i="7"/>
  <c r="AG40" i="7"/>
  <c r="AA40" i="7"/>
  <c r="Z40" i="7"/>
  <c r="AG39" i="7"/>
  <c r="AA39" i="7"/>
  <c r="Z39" i="7"/>
  <c r="AG38" i="7"/>
  <c r="AA38" i="7"/>
  <c r="Z38" i="7"/>
  <c r="AG37" i="7"/>
  <c r="Z37" i="7"/>
  <c r="AG36" i="7"/>
  <c r="AA36" i="7"/>
  <c r="Z36" i="7"/>
  <c r="AG35" i="7"/>
  <c r="AA35" i="7"/>
  <c r="Z35" i="7"/>
  <c r="AG34" i="7"/>
  <c r="AA34" i="7"/>
  <c r="Z34" i="7"/>
  <c r="AG33" i="7"/>
  <c r="Z33" i="7"/>
  <c r="AG32" i="7"/>
  <c r="AA32" i="7"/>
  <c r="Z32" i="7"/>
  <c r="AG31" i="7"/>
  <c r="AA31" i="7"/>
  <c r="Z31" i="7"/>
  <c r="AG30" i="7"/>
  <c r="AA30" i="7"/>
  <c r="Z30" i="7"/>
  <c r="AG29" i="7"/>
  <c r="Z29" i="7"/>
  <c r="AG28" i="7"/>
  <c r="AA28" i="7"/>
  <c r="Z28" i="7"/>
  <c r="AG27" i="7"/>
  <c r="AA27" i="7"/>
  <c r="Z27" i="7"/>
  <c r="AG26" i="7"/>
  <c r="AA26" i="7"/>
  <c r="Z26" i="7"/>
  <c r="AG25" i="7"/>
  <c r="Z25" i="7"/>
  <c r="AG24" i="7"/>
  <c r="AA24" i="7"/>
  <c r="Z24" i="7"/>
  <c r="AG23" i="7"/>
  <c r="AA23" i="7"/>
  <c r="Z23" i="7"/>
  <c r="AG22" i="7"/>
  <c r="AA22" i="7"/>
  <c r="Z22" i="7"/>
  <c r="AG21" i="7"/>
  <c r="Z21" i="7"/>
  <c r="AG20" i="7"/>
  <c r="AA20" i="7"/>
  <c r="Z20" i="7"/>
  <c r="AG19" i="7"/>
  <c r="AA19" i="7"/>
  <c r="Z19" i="7"/>
  <c r="AG18" i="7"/>
  <c r="AA18" i="7"/>
  <c r="Z18" i="7"/>
  <c r="AG17" i="7"/>
  <c r="Z17" i="7"/>
  <c r="AG16" i="7"/>
  <c r="AA16" i="7"/>
  <c r="Z16" i="7"/>
  <c r="AG15" i="7"/>
  <c r="AA15" i="7"/>
  <c r="Z15" i="7"/>
  <c r="AG14" i="7"/>
  <c r="AA14" i="7"/>
  <c r="Z14" i="7"/>
  <c r="AG13" i="7"/>
  <c r="Z13" i="7"/>
  <c r="AG12" i="7"/>
  <c r="AA12" i="7"/>
  <c r="Z12" i="7"/>
  <c r="AG11" i="7"/>
  <c r="AA11" i="7"/>
  <c r="Z11" i="7"/>
  <c r="AG10" i="7"/>
  <c r="AA10" i="7"/>
  <c r="Z10" i="7"/>
  <c r="AG9" i="7"/>
  <c r="Z9" i="7"/>
  <c r="AG8" i="7"/>
  <c r="AA8" i="7"/>
  <c r="Z8" i="7"/>
  <c r="AG7" i="7"/>
  <c r="AA7" i="7"/>
  <c r="Z7" i="7"/>
  <c r="AG6" i="7"/>
  <c r="AA6" i="7"/>
  <c r="Z6" i="7"/>
  <c r="AG5" i="7"/>
  <c r="Z5" i="7"/>
  <c r="AK56" i="7"/>
  <c r="AF56" i="7"/>
  <c r="AE56" i="7"/>
  <c r="AC56" i="7"/>
  <c r="Y56" i="7"/>
  <c r="X56" i="7"/>
  <c r="W56" i="7"/>
  <c r="U56" i="7"/>
  <c r="S56" i="7"/>
  <c r="R56" i="7"/>
  <c r="Q56" i="7"/>
  <c r="P56" i="7"/>
  <c r="O56" i="7"/>
  <c r="M56" i="7"/>
  <c r="L56" i="7"/>
  <c r="AK55" i="7"/>
  <c r="AF55" i="7"/>
  <c r="AC55" i="7"/>
  <c r="AA55" i="7"/>
  <c r="Z55" i="7"/>
  <c r="Y55" i="7"/>
  <c r="X55" i="7"/>
  <c r="W55" i="7"/>
  <c r="V55" i="7"/>
  <c r="U55" i="7"/>
  <c r="S55" i="7"/>
  <c r="R55" i="7"/>
  <c r="Q55" i="7"/>
  <c r="P55" i="7"/>
  <c r="O55" i="7"/>
  <c r="M55" i="7"/>
  <c r="L55" i="7"/>
  <c r="AP51" i="7"/>
  <c r="AP50" i="7"/>
  <c r="AP49" i="7"/>
  <c r="AP48" i="7"/>
  <c r="AP47" i="7"/>
  <c r="AP46" i="7"/>
  <c r="AP45" i="7"/>
  <c r="AP44" i="7"/>
  <c r="AP43" i="7"/>
  <c r="AP42" i="7"/>
  <c r="AP41" i="7"/>
  <c r="AP40" i="7"/>
  <c r="AP39" i="7"/>
  <c r="AP38" i="7"/>
  <c r="AP37" i="7"/>
  <c r="AP36" i="7"/>
  <c r="AP35" i="7"/>
  <c r="AP34" i="7"/>
  <c r="AP33" i="7"/>
  <c r="AP32" i="7"/>
  <c r="AP31" i="7"/>
  <c r="AP30" i="7"/>
  <c r="AP29" i="7"/>
  <c r="AP28" i="7"/>
  <c r="AP27" i="7"/>
  <c r="AP26" i="7"/>
  <c r="AP24" i="7"/>
  <c r="AP23" i="7"/>
  <c r="AP22" i="7"/>
  <c r="AP21" i="7"/>
  <c r="AA56" i="6"/>
  <c r="Z56" i="6"/>
  <c r="AK58" i="6"/>
  <c r="AK57" i="6"/>
  <c r="AK56" i="6"/>
  <c r="AF58" i="6"/>
  <c r="AF57" i="6"/>
  <c r="AF56" i="6"/>
  <c r="AE58" i="6"/>
  <c r="AE56" i="6"/>
  <c r="AC58" i="6"/>
  <c r="AC57" i="6"/>
  <c r="AC56" i="6"/>
  <c r="AA57" i="6"/>
  <c r="Z57" i="6"/>
  <c r="Y58" i="6"/>
  <c r="Y57" i="6"/>
  <c r="X58" i="6"/>
  <c r="X57" i="6"/>
  <c r="X56" i="6"/>
  <c r="W58" i="6"/>
  <c r="W57" i="6"/>
  <c r="V57" i="6"/>
  <c r="U57" i="6"/>
  <c r="U56" i="6"/>
  <c r="S58" i="6"/>
  <c r="S57" i="6"/>
  <c r="S56" i="6"/>
  <c r="R58" i="6"/>
  <c r="R57" i="6"/>
  <c r="R56" i="6"/>
  <c r="Q58" i="6"/>
  <c r="Q57" i="6"/>
  <c r="Q56" i="6"/>
  <c r="P58" i="6"/>
  <c r="P57" i="6"/>
  <c r="P56" i="6"/>
  <c r="O58" i="6"/>
  <c r="O57" i="6"/>
  <c r="O56" i="6"/>
  <c r="M58" i="6"/>
  <c r="M57" i="6"/>
  <c r="M56" i="6"/>
  <c r="L58" i="6"/>
  <c r="L57" i="6"/>
  <c r="L56" i="6"/>
  <c r="L54" i="7" s="1"/>
  <c r="AK16" i="6"/>
  <c r="AK15" i="6"/>
  <c r="AK10" i="6"/>
  <c r="AK9" i="6"/>
  <c r="AK6" i="6"/>
  <c r="AK5" i="6"/>
  <c r="AI51" i="6"/>
  <c r="AI50" i="6"/>
  <c r="AI49" i="6"/>
  <c r="AI48" i="6"/>
  <c r="AI47" i="6"/>
  <c r="AI46" i="6"/>
  <c r="AI45" i="6"/>
  <c r="AI44" i="6"/>
  <c r="AI43" i="6"/>
  <c r="AI42" i="6"/>
  <c r="AI41" i="6"/>
  <c r="AI40" i="6"/>
  <c r="AI39" i="6"/>
  <c r="AI38" i="6"/>
  <c r="AI37" i="6"/>
  <c r="AI36" i="6"/>
  <c r="AI35" i="6"/>
  <c r="AI34" i="6"/>
  <c r="AI33" i="6"/>
  <c r="AI32" i="6"/>
  <c r="AI31" i="6"/>
  <c r="AI30" i="6"/>
  <c r="AI29" i="6"/>
  <c r="AI28" i="6"/>
  <c r="AI27" i="6"/>
  <c r="AI26" i="6"/>
  <c r="AI24" i="6"/>
  <c r="AI23" i="6"/>
  <c r="AI22" i="6"/>
  <c r="AI21" i="6"/>
  <c r="AH51" i="6"/>
  <c r="AH50" i="6"/>
  <c r="AH49" i="6"/>
  <c r="AH48" i="6"/>
  <c r="AH47" i="6"/>
  <c r="AH46" i="6"/>
  <c r="AH45" i="6"/>
  <c r="AH44" i="6"/>
  <c r="AH43" i="6"/>
  <c r="AH42" i="6"/>
  <c r="AH41" i="6"/>
  <c r="AH40" i="6"/>
  <c r="AH39" i="6"/>
  <c r="AH38" i="6"/>
  <c r="AH37" i="6"/>
  <c r="AH36" i="6"/>
  <c r="AH35" i="6"/>
  <c r="AH34" i="6"/>
  <c r="AH33" i="6"/>
  <c r="AH32" i="6"/>
  <c r="AH31" i="6"/>
  <c r="AH30" i="6"/>
  <c r="AH29" i="6"/>
  <c r="AH28" i="6"/>
  <c r="AH27" i="6"/>
  <c r="AH26" i="6"/>
  <c r="AH24" i="6"/>
  <c r="AH23" i="6"/>
  <c r="AH22" i="6"/>
  <c r="AH21" i="6"/>
  <c r="S51" i="6"/>
  <c r="S50" i="6"/>
  <c r="S49" i="6"/>
  <c r="S48" i="6"/>
  <c r="S47" i="6"/>
  <c r="S46" i="6"/>
  <c r="S45" i="6"/>
  <c r="S44" i="6"/>
  <c r="S43" i="6"/>
  <c r="S42" i="6"/>
  <c r="S41" i="6"/>
  <c r="S40" i="6"/>
  <c r="S39" i="6"/>
  <c r="S38" i="6"/>
  <c r="S37" i="6"/>
  <c r="S36" i="6"/>
  <c r="S35" i="6"/>
  <c r="S34" i="6"/>
  <c r="S33" i="6"/>
  <c r="S32" i="6"/>
  <c r="S31" i="6"/>
  <c r="S30" i="6"/>
  <c r="S29" i="6"/>
  <c r="S28" i="6"/>
  <c r="S27" i="6"/>
  <c r="S26" i="6"/>
  <c r="S24" i="6"/>
  <c r="S23" i="6"/>
  <c r="S22" i="6"/>
  <c r="S21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Q51" i="6"/>
  <c r="Q50" i="6"/>
  <c r="Q49" i="6"/>
  <c r="Q48" i="6"/>
  <c r="Q47" i="6"/>
  <c r="Q46" i="6"/>
  <c r="Q45" i="6"/>
  <c r="Q44" i="6"/>
  <c r="Q43" i="6"/>
  <c r="Q42" i="6"/>
  <c r="Q41" i="6"/>
  <c r="Q40" i="6"/>
  <c r="Q39" i="6"/>
  <c r="Q38" i="6"/>
  <c r="Q37" i="6"/>
  <c r="Q36" i="6"/>
  <c r="Q35" i="6"/>
  <c r="Q34" i="6"/>
  <c r="Q33" i="6"/>
  <c r="Q32" i="6"/>
  <c r="Q31" i="6"/>
  <c r="Q30" i="6"/>
  <c r="Q25" i="6"/>
  <c r="Q20" i="6"/>
  <c r="Q19" i="6"/>
  <c r="Q18" i="6"/>
  <c r="Q17" i="6"/>
  <c r="Q12" i="6"/>
  <c r="Q11" i="6"/>
  <c r="Q7" i="6"/>
  <c r="P51" i="6"/>
  <c r="P50" i="6"/>
  <c r="P49" i="6"/>
  <c r="P48" i="6"/>
  <c r="P47" i="6"/>
  <c r="P46" i="6"/>
  <c r="P45" i="6"/>
  <c r="P44" i="6"/>
  <c r="P43" i="6"/>
  <c r="P42" i="6"/>
  <c r="P41" i="6"/>
  <c r="P40" i="6"/>
  <c r="P39" i="6"/>
  <c r="P38" i="6"/>
  <c r="P37" i="6"/>
  <c r="P36" i="6"/>
  <c r="P35" i="6"/>
  <c r="P34" i="6"/>
  <c r="P33" i="6"/>
  <c r="P32" i="6"/>
  <c r="P31" i="6"/>
  <c r="P30" i="6"/>
  <c r="O51" i="6"/>
  <c r="O50" i="6"/>
  <c r="O49" i="6"/>
  <c r="O48" i="6"/>
  <c r="O47" i="6"/>
  <c r="O46" i="6"/>
  <c r="O45" i="6"/>
  <c r="O44" i="6"/>
  <c r="O43" i="6"/>
  <c r="O42" i="6"/>
  <c r="O41" i="6"/>
  <c r="O40" i="6"/>
  <c r="O39" i="6"/>
  <c r="O38" i="6"/>
  <c r="O37" i="6"/>
  <c r="O36" i="6"/>
  <c r="O35" i="6"/>
  <c r="O34" i="6"/>
  <c r="O33" i="6"/>
  <c r="O32" i="6"/>
  <c r="O31" i="6"/>
  <c r="O30" i="6"/>
  <c r="O29" i="6"/>
  <c r="O28" i="6"/>
  <c r="O27" i="6"/>
  <c r="O26" i="6"/>
  <c r="O24" i="6"/>
  <c r="O23" i="6"/>
  <c r="O22" i="6"/>
  <c r="O21" i="6"/>
  <c r="AP51" i="6"/>
  <c r="AP50" i="6"/>
  <c r="AP49" i="6"/>
  <c r="AP48" i="6"/>
  <c r="AP47" i="6"/>
  <c r="AP46" i="6"/>
  <c r="AP45" i="6"/>
  <c r="AP44" i="6"/>
  <c r="AP43" i="6"/>
  <c r="AP42" i="6"/>
  <c r="AP41" i="6"/>
  <c r="AP40" i="6"/>
  <c r="AP39" i="6"/>
  <c r="AP38" i="6"/>
  <c r="AP37" i="6"/>
  <c r="AP36" i="6"/>
  <c r="AP35" i="6"/>
  <c r="AP34" i="6"/>
  <c r="AP33" i="6"/>
  <c r="AP32" i="6"/>
  <c r="AP31" i="6"/>
  <c r="AP30" i="6"/>
  <c r="AP29" i="6"/>
  <c r="AP28" i="6"/>
  <c r="AP27" i="6"/>
  <c r="AP26" i="6"/>
  <c r="AP24" i="6"/>
  <c r="AP23" i="6"/>
  <c r="AP22" i="6"/>
  <c r="AP21" i="6"/>
  <c r="L51" i="6"/>
  <c r="L50" i="6"/>
  <c r="L49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2" i="6"/>
  <c r="L31" i="6"/>
  <c r="L30" i="6"/>
  <c r="L25" i="6"/>
  <c r="L20" i="6"/>
  <c r="L19" i="6"/>
  <c r="L18" i="6"/>
  <c r="L17" i="6"/>
  <c r="L12" i="6"/>
  <c r="L11" i="6"/>
  <c r="L7" i="6"/>
  <c r="AJ56" i="6"/>
  <c r="AI56" i="6"/>
  <c r="AH56" i="6"/>
  <c r="W56" i="6"/>
  <c r="V56" i="9"/>
  <c r="F45" i="5"/>
  <c r="E45" i="5"/>
  <c r="D45" i="5"/>
  <c r="F43" i="5"/>
  <c r="D43" i="5"/>
  <c r="E41" i="5"/>
  <c r="D41" i="5"/>
  <c r="F23" i="5"/>
  <c r="D23" i="5"/>
  <c r="AG56" i="6" s="1"/>
  <c r="F20" i="5"/>
  <c r="AD56" i="9" s="1"/>
  <c r="E20" i="5"/>
  <c r="D20" i="5"/>
  <c r="AD56" i="6" s="1"/>
  <c r="E18" i="5"/>
  <c r="T38" i="4"/>
  <c r="S38" i="4"/>
  <c r="R38" i="4"/>
  <c r="Q38" i="4"/>
  <c r="P38" i="4"/>
  <c r="O38" i="4"/>
  <c r="N38" i="4"/>
  <c r="M38" i="4"/>
  <c r="L38" i="4"/>
  <c r="K38" i="4"/>
  <c r="J38" i="4"/>
  <c r="I38" i="4"/>
  <c r="U38" i="4" s="1"/>
  <c r="T37" i="4"/>
  <c r="S37" i="4"/>
  <c r="R37" i="4"/>
  <c r="Q37" i="4"/>
  <c r="P37" i="4"/>
  <c r="O37" i="4"/>
  <c r="N37" i="4"/>
  <c r="M37" i="4"/>
  <c r="L37" i="4"/>
  <c r="K37" i="4"/>
  <c r="J37" i="4"/>
  <c r="I37" i="4"/>
  <c r="U37" i="4" s="1"/>
  <c r="T36" i="4"/>
  <c r="S36" i="4"/>
  <c r="R36" i="4"/>
  <c r="Q36" i="4"/>
  <c r="P36" i="4"/>
  <c r="O36" i="4"/>
  <c r="N36" i="4"/>
  <c r="M36" i="4"/>
  <c r="L36" i="4"/>
  <c r="K36" i="4"/>
  <c r="J36" i="4"/>
  <c r="I36" i="4"/>
  <c r="U36" i="4" s="1"/>
  <c r="T35" i="4"/>
  <c r="S35" i="4"/>
  <c r="R35" i="4"/>
  <c r="Q35" i="4"/>
  <c r="P35" i="4"/>
  <c r="O35" i="4"/>
  <c r="N35" i="4"/>
  <c r="M35" i="4"/>
  <c r="L35" i="4"/>
  <c r="K35" i="4"/>
  <c r="J35" i="4"/>
  <c r="I35" i="4"/>
  <c r="U35" i="4" s="1"/>
  <c r="T34" i="4"/>
  <c r="S34" i="4"/>
  <c r="R34" i="4"/>
  <c r="Q34" i="4"/>
  <c r="P34" i="4"/>
  <c r="O34" i="4"/>
  <c r="N34" i="4"/>
  <c r="M34" i="4"/>
  <c r="L34" i="4"/>
  <c r="K34" i="4"/>
  <c r="J34" i="4"/>
  <c r="I34" i="4"/>
  <c r="U34" i="4" s="1"/>
  <c r="T33" i="4"/>
  <c r="S33" i="4"/>
  <c r="R33" i="4"/>
  <c r="Q33" i="4"/>
  <c r="P33" i="4"/>
  <c r="O33" i="4"/>
  <c r="N33" i="4"/>
  <c r="M33" i="4"/>
  <c r="L33" i="4"/>
  <c r="K33" i="4"/>
  <c r="J33" i="4"/>
  <c r="I33" i="4"/>
  <c r="U33" i="4" s="1"/>
  <c r="T32" i="4"/>
  <c r="S32" i="4"/>
  <c r="R32" i="4"/>
  <c r="Q32" i="4"/>
  <c r="P32" i="4"/>
  <c r="O32" i="4"/>
  <c r="N32" i="4"/>
  <c r="M32" i="4"/>
  <c r="L32" i="4"/>
  <c r="K32" i="4"/>
  <c r="J32" i="4"/>
  <c r="I32" i="4"/>
  <c r="U32" i="4" s="1"/>
  <c r="T31" i="4"/>
  <c r="S31" i="4"/>
  <c r="R31" i="4"/>
  <c r="Q31" i="4"/>
  <c r="P31" i="4"/>
  <c r="O31" i="4"/>
  <c r="N31" i="4"/>
  <c r="M31" i="4"/>
  <c r="L31" i="4"/>
  <c r="K31" i="4"/>
  <c r="J31" i="4"/>
  <c r="I31" i="4"/>
  <c r="U31" i="4" s="1"/>
  <c r="T30" i="4"/>
  <c r="S30" i="4"/>
  <c r="R30" i="4"/>
  <c r="Q30" i="4"/>
  <c r="P30" i="4"/>
  <c r="O30" i="4"/>
  <c r="N30" i="4"/>
  <c r="M30" i="4"/>
  <c r="L30" i="4"/>
  <c r="K30" i="4"/>
  <c r="J30" i="4"/>
  <c r="I30" i="4"/>
  <c r="U30" i="4" s="1"/>
  <c r="T29" i="4"/>
  <c r="S29" i="4"/>
  <c r="R29" i="4"/>
  <c r="Q29" i="4"/>
  <c r="P29" i="4"/>
  <c r="O29" i="4"/>
  <c r="N29" i="4"/>
  <c r="M29" i="4"/>
  <c r="L29" i="4"/>
  <c r="K29" i="4"/>
  <c r="J29" i="4"/>
  <c r="I29" i="4"/>
  <c r="U29" i="4" s="1"/>
  <c r="T28" i="4"/>
  <c r="S28" i="4"/>
  <c r="R28" i="4"/>
  <c r="Q28" i="4"/>
  <c r="P28" i="4"/>
  <c r="O28" i="4"/>
  <c r="N28" i="4"/>
  <c r="M28" i="4"/>
  <c r="L28" i="4"/>
  <c r="K28" i="4"/>
  <c r="J28" i="4"/>
  <c r="I28" i="4"/>
  <c r="U28" i="4" s="1"/>
  <c r="T27" i="4"/>
  <c r="S27" i="4"/>
  <c r="R27" i="4"/>
  <c r="Q27" i="4"/>
  <c r="P27" i="4"/>
  <c r="O27" i="4"/>
  <c r="N27" i="4"/>
  <c r="M27" i="4"/>
  <c r="L27" i="4"/>
  <c r="K27" i="4"/>
  <c r="J27" i="4"/>
  <c r="I27" i="4"/>
  <c r="U27" i="4" s="1"/>
  <c r="T26" i="4"/>
  <c r="S26" i="4"/>
  <c r="R26" i="4"/>
  <c r="Q26" i="4"/>
  <c r="P26" i="4"/>
  <c r="O26" i="4"/>
  <c r="N26" i="4"/>
  <c r="M26" i="4"/>
  <c r="L26" i="4"/>
  <c r="K26" i="4"/>
  <c r="J26" i="4"/>
  <c r="I26" i="4"/>
  <c r="U26" i="4" s="1"/>
  <c r="T25" i="4"/>
  <c r="S25" i="4"/>
  <c r="R25" i="4"/>
  <c r="Q25" i="4"/>
  <c r="P25" i="4"/>
  <c r="O25" i="4"/>
  <c r="N25" i="4"/>
  <c r="M25" i="4"/>
  <c r="L25" i="4"/>
  <c r="K25" i="4"/>
  <c r="J25" i="4"/>
  <c r="I25" i="4"/>
  <c r="U25" i="4" s="1"/>
  <c r="T24" i="4"/>
  <c r="S24" i="4"/>
  <c r="R24" i="4"/>
  <c r="Q24" i="4"/>
  <c r="P24" i="4"/>
  <c r="O24" i="4"/>
  <c r="N24" i="4"/>
  <c r="M24" i="4"/>
  <c r="L24" i="4"/>
  <c r="K24" i="4"/>
  <c r="J24" i="4"/>
  <c r="I24" i="4"/>
  <c r="U24" i="4" s="1"/>
  <c r="T23" i="4"/>
  <c r="S23" i="4"/>
  <c r="R23" i="4"/>
  <c r="Q23" i="4"/>
  <c r="P23" i="4"/>
  <c r="O23" i="4"/>
  <c r="N23" i="4"/>
  <c r="M23" i="4"/>
  <c r="L23" i="4"/>
  <c r="K23" i="4"/>
  <c r="J23" i="4"/>
  <c r="I23" i="4"/>
  <c r="U23" i="4" s="1"/>
  <c r="T22" i="4"/>
  <c r="S22" i="4"/>
  <c r="R22" i="4"/>
  <c r="Q22" i="4"/>
  <c r="P22" i="4"/>
  <c r="O22" i="4"/>
  <c r="N22" i="4"/>
  <c r="M22" i="4"/>
  <c r="L22" i="4"/>
  <c r="K22" i="4"/>
  <c r="J22" i="4"/>
  <c r="I22" i="4"/>
  <c r="U22" i="4" s="1"/>
  <c r="T21" i="4"/>
  <c r="S21" i="4"/>
  <c r="R21" i="4"/>
  <c r="Q21" i="4"/>
  <c r="P21" i="4"/>
  <c r="O21" i="4"/>
  <c r="N21" i="4"/>
  <c r="M21" i="4"/>
  <c r="L21" i="4"/>
  <c r="K21" i="4"/>
  <c r="J21" i="4"/>
  <c r="I21" i="4"/>
  <c r="U21" i="4" s="1"/>
  <c r="T20" i="4"/>
  <c r="S20" i="4"/>
  <c r="R20" i="4"/>
  <c r="Q20" i="4"/>
  <c r="P20" i="4"/>
  <c r="O20" i="4"/>
  <c r="N20" i="4"/>
  <c r="M20" i="4"/>
  <c r="L20" i="4"/>
  <c r="K20" i="4"/>
  <c r="J20" i="4"/>
  <c r="I20" i="4"/>
  <c r="U20" i="4" s="1"/>
  <c r="T19" i="4"/>
  <c r="S19" i="4"/>
  <c r="R19" i="4"/>
  <c r="Q19" i="4"/>
  <c r="P19" i="4"/>
  <c r="O19" i="4"/>
  <c r="N19" i="4"/>
  <c r="M19" i="4"/>
  <c r="L19" i="4"/>
  <c r="K19" i="4"/>
  <c r="J19" i="4"/>
  <c r="I19" i="4"/>
  <c r="U19" i="4" s="1"/>
  <c r="T18" i="4"/>
  <c r="S18" i="4"/>
  <c r="R18" i="4"/>
  <c r="Q18" i="4"/>
  <c r="P18" i="4"/>
  <c r="O18" i="4"/>
  <c r="N18" i="4"/>
  <c r="M18" i="4"/>
  <c r="L18" i="4"/>
  <c r="K18" i="4"/>
  <c r="J18" i="4"/>
  <c r="I18" i="4"/>
  <c r="U18" i="4" s="1"/>
  <c r="T17" i="4"/>
  <c r="S17" i="4"/>
  <c r="R17" i="4"/>
  <c r="Q17" i="4"/>
  <c r="P17" i="4"/>
  <c r="O17" i="4"/>
  <c r="N17" i="4"/>
  <c r="M17" i="4"/>
  <c r="L17" i="4"/>
  <c r="K17" i="4"/>
  <c r="J17" i="4"/>
  <c r="I17" i="4"/>
  <c r="U17" i="4" s="1"/>
  <c r="T16" i="4"/>
  <c r="S16" i="4"/>
  <c r="R16" i="4"/>
  <c r="Q16" i="4"/>
  <c r="P16" i="4"/>
  <c r="O16" i="4"/>
  <c r="N16" i="4"/>
  <c r="M16" i="4"/>
  <c r="L16" i="4"/>
  <c r="K16" i="4"/>
  <c r="J16" i="4"/>
  <c r="I16" i="4"/>
  <c r="U16" i="4" s="1"/>
  <c r="T15" i="4"/>
  <c r="S15" i="4"/>
  <c r="R15" i="4"/>
  <c r="Q15" i="4"/>
  <c r="P15" i="4"/>
  <c r="O15" i="4"/>
  <c r="N15" i="4"/>
  <c r="M15" i="4"/>
  <c r="L15" i="4"/>
  <c r="K15" i="4"/>
  <c r="J15" i="4"/>
  <c r="I15" i="4"/>
  <c r="U15" i="4" s="1"/>
  <c r="T14" i="4"/>
  <c r="S14" i="4"/>
  <c r="R14" i="4"/>
  <c r="Q14" i="4"/>
  <c r="P14" i="4"/>
  <c r="O14" i="4"/>
  <c r="N14" i="4"/>
  <c r="M14" i="4"/>
  <c r="L14" i="4"/>
  <c r="K14" i="4"/>
  <c r="J14" i="4"/>
  <c r="I14" i="4"/>
  <c r="U14" i="4" s="1"/>
  <c r="T13" i="4"/>
  <c r="S13" i="4"/>
  <c r="R13" i="4"/>
  <c r="Q13" i="4"/>
  <c r="P13" i="4"/>
  <c r="O13" i="4"/>
  <c r="N13" i="4"/>
  <c r="M13" i="4"/>
  <c r="L13" i="4"/>
  <c r="K13" i="4"/>
  <c r="J13" i="4"/>
  <c r="I13" i="4"/>
  <c r="U13" i="4" s="1"/>
  <c r="T12" i="4"/>
  <c r="S12" i="4"/>
  <c r="R12" i="4"/>
  <c r="Q12" i="4"/>
  <c r="P12" i="4"/>
  <c r="O12" i="4"/>
  <c r="N12" i="4"/>
  <c r="M12" i="4"/>
  <c r="L12" i="4"/>
  <c r="K12" i="4"/>
  <c r="J12" i="4"/>
  <c r="I12" i="4"/>
  <c r="U12" i="4" s="1"/>
  <c r="T11" i="4"/>
  <c r="S11" i="4"/>
  <c r="R11" i="4"/>
  <c r="Q11" i="4"/>
  <c r="P11" i="4"/>
  <c r="O11" i="4"/>
  <c r="N11" i="4"/>
  <c r="M11" i="4"/>
  <c r="L11" i="4"/>
  <c r="K11" i="4"/>
  <c r="J11" i="4"/>
  <c r="I11" i="4"/>
  <c r="U11" i="4" s="1"/>
  <c r="T10" i="4"/>
  <c r="S10" i="4"/>
  <c r="R10" i="4"/>
  <c r="Q10" i="4"/>
  <c r="P10" i="4"/>
  <c r="O10" i="4"/>
  <c r="N10" i="4"/>
  <c r="M10" i="4"/>
  <c r="L10" i="4"/>
  <c r="K10" i="4"/>
  <c r="J10" i="4"/>
  <c r="I10" i="4"/>
  <c r="U10" i="4" s="1"/>
  <c r="T9" i="4"/>
  <c r="S9" i="4"/>
  <c r="R9" i="4"/>
  <c r="Q9" i="4"/>
  <c r="P9" i="4"/>
  <c r="O9" i="4"/>
  <c r="N9" i="4"/>
  <c r="M9" i="4"/>
  <c r="L9" i="4"/>
  <c r="K9" i="4"/>
  <c r="J9" i="4"/>
  <c r="I9" i="4"/>
  <c r="U9" i="4" s="1"/>
  <c r="T8" i="4"/>
  <c r="S8" i="4"/>
  <c r="R8" i="4"/>
  <c r="Q8" i="4"/>
  <c r="P8" i="4"/>
  <c r="O8" i="4"/>
  <c r="N8" i="4"/>
  <c r="M8" i="4"/>
  <c r="L8" i="4"/>
  <c r="K8" i="4"/>
  <c r="J8" i="4"/>
  <c r="I8" i="4"/>
  <c r="U8" i="4" s="1"/>
  <c r="T7" i="4"/>
  <c r="S7" i="4"/>
  <c r="R7" i="4"/>
  <c r="Q7" i="4"/>
  <c r="P7" i="4"/>
  <c r="O7" i="4"/>
  <c r="N7" i="4"/>
  <c r="M7" i="4"/>
  <c r="L7" i="4"/>
  <c r="K7" i="4"/>
  <c r="J7" i="4"/>
  <c r="I7" i="4"/>
  <c r="U7" i="4" s="1"/>
  <c r="T6" i="4"/>
  <c r="S6" i="4"/>
  <c r="R6" i="4"/>
  <c r="Q6" i="4"/>
  <c r="P6" i="4"/>
  <c r="O6" i="4"/>
  <c r="N6" i="4"/>
  <c r="M6" i="4"/>
  <c r="L6" i="4"/>
  <c r="K6" i="4"/>
  <c r="J6" i="4"/>
  <c r="I6" i="4"/>
  <c r="U6" i="4" s="1"/>
  <c r="T5" i="4"/>
  <c r="S5" i="4"/>
  <c r="R5" i="4"/>
  <c r="Q5" i="4"/>
  <c r="P5" i="4"/>
  <c r="O5" i="4"/>
  <c r="N5" i="4"/>
  <c r="M5" i="4"/>
  <c r="L5" i="4"/>
  <c r="K5" i="4"/>
  <c r="J5" i="4"/>
  <c r="I5" i="4"/>
  <c r="U5" i="4" s="1"/>
  <c r="T4" i="4"/>
  <c r="S4" i="4"/>
  <c r="R4" i="4"/>
  <c r="Q4" i="4"/>
  <c r="P4" i="4"/>
  <c r="O4" i="4"/>
  <c r="N4" i="4"/>
  <c r="M4" i="4"/>
  <c r="L4" i="4"/>
  <c r="K4" i="4"/>
  <c r="J4" i="4"/>
  <c r="I4" i="4"/>
  <c r="U4" i="4" s="1"/>
  <c r="T3" i="4"/>
  <c r="S3" i="4"/>
  <c r="R3" i="4"/>
  <c r="Q3" i="4"/>
  <c r="P3" i="4"/>
  <c r="O3" i="4"/>
  <c r="N3" i="4"/>
  <c r="M3" i="4"/>
  <c r="L3" i="4"/>
  <c r="K3" i="4"/>
  <c r="J3" i="4"/>
  <c r="I3" i="4"/>
  <c r="U3" i="4" s="1"/>
  <c r="T2" i="4"/>
  <c r="S2" i="4"/>
  <c r="R2" i="4"/>
  <c r="Q2" i="4"/>
  <c r="P2" i="4"/>
  <c r="O2" i="4"/>
  <c r="N2" i="4"/>
  <c r="M2" i="4"/>
  <c r="L2" i="4"/>
  <c r="K2" i="4"/>
  <c r="J2" i="4"/>
  <c r="I2" i="4"/>
  <c r="U2" i="4" s="1"/>
  <c r="T48" i="3"/>
  <c r="S48" i="3"/>
  <c r="R48" i="3"/>
  <c r="Q48" i="3"/>
  <c r="P48" i="3"/>
  <c r="O48" i="3"/>
  <c r="N48" i="3"/>
  <c r="M48" i="3"/>
  <c r="L48" i="3"/>
  <c r="K48" i="3"/>
  <c r="J48" i="3"/>
  <c r="I48" i="3"/>
  <c r="U48" i="3" s="1"/>
  <c r="T47" i="3"/>
  <c r="S47" i="3"/>
  <c r="R47" i="3"/>
  <c r="Q47" i="3"/>
  <c r="P47" i="3"/>
  <c r="O47" i="3"/>
  <c r="N47" i="3"/>
  <c r="M47" i="3"/>
  <c r="L47" i="3"/>
  <c r="K47" i="3"/>
  <c r="J47" i="3"/>
  <c r="I47" i="3"/>
  <c r="U47" i="3" s="1"/>
  <c r="T46" i="3"/>
  <c r="S46" i="3"/>
  <c r="R46" i="3"/>
  <c r="Q46" i="3"/>
  <c r="P46" i="3"/>
  <c r="O46" i="3"/>
  <c r="N46" i="3"/>
  <c r="M46" i="3"/>
  <c r="L46" i="3"/>
  <c r="K46" i="3"/>
  <c r="J46" i="3"/>
  <c r="I46" i="3"/>
  <c r="U46" i="3" s="1"/>
  <c r="T45" i="3"/>
  <c r="S45" i="3"/>
  <c r="R45" i="3"/>
  <c r="Q45" i="3"/>
  <c r="P45" i="3"/>
  <c r="O45" i="3"/>
  <c r="N45" i="3"/>
  <c r="M45" i="3"/>
  <c r="L45" i="3"/>
  <c r="K45" i="3"/>
  <c r="J45" i="3"/>
  <c r="I45" i="3"/>
  <c r="U45" i="3" s="1"/>
  <c r="T44" i="3"/>
  <c r="S44" i="3"/>
  <c r="R44" i="3"/>
  <c r="Q44" i="3"/>
  <c r="P44" i="3"/>
  <c r="O44" i="3"/>
  <c r="N44" i="3"/>
  <c r="M44" i="3"/>
  <c r="L44" i="3"/>
  <c r="K44" i="3"/>
  <c r="J44" i="3"/>
  <c r="I44" i="3"/>
  <c r="U44" i="3" s="1"/>
  <c r="T43" i="3"/>
  <c r="S43" i="3"/>
  <c r="R43" i="3"/>
  <c r="Q43" i="3"/>
  <c r="P43" i="3"/>
  <c r="O43" i="3"/>
  <c r="N43" i="3"/>
  <c r="M43" i="3"/>
  <c r="L43" i="3"/>
  <c r="K43" i="3"/>
  <c r="U43" i="3" s="1"/>
  <c r="J43" i="3"/>
  <c r="I43" i="3"/>
  <c r="T42" i="3"/>
  <c r="S42" i="3"/>
  <c r="R42" i="3"/>
  <c r="Q42" i="3"/>
  <c r="P42" i="3"/>
  <c r="O42" i="3"/>
  <c r="N42" i="3"/>
  <c r="M42" i="3"/>
  <c r="L42" i="3"/>
  <c r="K42" i="3"/>
  <c r="J42" i="3"/>
  <c r="I42" i="3"/>
  <c r="U42" i="3" s="1"/>
  <c r="T41" i="3"/>
  <c r="S41" i="3"/>
  <c r="R41" i="3"/>
  <c r="Q41" i="3"/>
  <c r="P41" i="3"/>
  <c r="O41" i="3"/>
  <c r="N41" i="3"/>
  <c r="M41" i="3"/>
  <c r="L41" i="3"/>
  <c r="K41" i="3"/>
  <c r="J41" i="3"/>
  <c r="I41" i="3"/>
  <c r="U41" i="3" s="1"/>
  <c r="T40" i="3"/>
  <c r="S40" i="3"/>
  <c r="R40" i="3"/>
  <c r="Q40" i="3"/>
  <c r="P40" i="3"/>
  <c r="O40" i="3"/>
  <c r="N40" i="3"/>
  <c r="M40" i="3"/>
  <c r="L40" i="3"/>
  <c r="K40" i="3"/>
  <c r="J40" i="3"/>
  <c r="I40" i="3"/>
  <c r="U40" i="3" s="1"/>
  <c r="T39" i="3"/>
  <c r="S39" i="3"/>
  <c r="R39" i="3"/>
  <c r="Q39" i="3"/>
  <c r="P39" i="3"/>
  <c r="O39" i="3"/>
  <c r="N39" i="3"/>
  <c r="M39" i="3"/>
  <c r="L39" i="3"/>
  <c r="K39" i="3"/>
  <c r="J39" i="3"/>
  <c r="I39" i="3"/>
  <c r="U39" i="3" s="1"/>
  <c r="T38" i="3"/>
  <c r="S38" i="3"/>
  <c r="R38" i="3"/>
  <c r="Q38" i="3"/>
  <c r="P38" i="3"/>
  <c r="O38" i="3"/>
  <c r="N38" i="3"/>
  <c r="M38" i="3"/>
  <c r="L38" i="3"/>
  <c r="K38" i="3"/>
  <c r="J38" i="3"/>
  <c r="I38" i="3"/>
  <c r="U38" i="3" s="1"/>
  <c r="T37" i="3"/>
  <c r="S37" i="3"/>
  <c r="R37" i="3"/>
  <c r="Q37" i="3"/>
  <c r="P37" i="3"/>
  <c r="O37" i="3"/>
  <c r="N37" i="3"/>
  <c r="M37" i="3"/>
  <c r="L37" i="3"/>
  <c r="K37" i="3"/>
  <c r="J37" i="3"/>
  <c r="I37" i="3"/>
  <c r="U37" i="3" s="1"/>
  <c r="T36" i="3"/>
  <c r="S36" i="3"/>
  <c r="R36" i="3"/>
  <c r="Q36" i="3"/>
  <c r="P36" i="3"/>
  <c r="O36" i="3"/>
  <c r="N36" i="3"/>
  <c r="M36" i="3"/>
  <c r="U36" i="3" s="1"/>
  <c r="L36" i="3"/>
  <c r="K36" i="3"/>
  <c r="J36" i="3"/>
  <c r="I36" i="3"/>
  <c r="T35" i="3"/>
  <c r="S35" i="3"/>
  <c r="R35" i="3"/>
  <c r="Q35" i="3"/>
  <c r="P35" i="3"/>
  <c r="O35" i="3"/>
  <c r="N35" i="3"/>
  <c r="M35" i="3"/>
  <c r="L35" i="3"/>
  <c r="K35" i="3"/>
  <c r="J35" i="3"/>
  <c r="U35" i="3" s="1"/>
  <c r="I35" i="3"/>
  <c r="T34" i="3"/>
  <c r="S34" i="3"/>
  <c r="R34" i="3"/>
  <c r="Q34" i="3"/>
  <c r="P34" i="3"/>
  <c r="O34" i="3"/>
  <c r="N34" i="3"/>
  <c r="M34" i="3"/>
  <c r="L34" i="3"/>
  <c r="K34" i="3"/>
  <c r="J34" i="3"/>
  <c r="I34" i="3"/>
  <c r="U34" i="3" s="1"/>
  <c r="T33" i="3"/>
  <c r="S33" i="3"/>
  <c r="R33" i="3"/>
  <c r="Q33" i="3"/>
  <c r="P33" i="3"/>
  <c r="O33" i="3"/>
  <c r="N33" i="3"/>
  <c r="M33" i="3"/>
  <c r="L33" i="3"/>
  <c r="U33" i="3" s="1"/>
  <c r="K33" i="3"/>
  <c r="J33" i="3"/>
  <c r="I33" i="3"/>
  <c r="T32" i="3"/>
  <c r="S32" i="3"/>
  <c r="R32" i="3"/>
  <c r="Q32" i="3"/>
  <c r="P32" i="3"/>
  <c r="O32" i="3"/>
  <c r="N32" i="3"/>
  <c r="M32" i="3"/>
  <c r="L32" i="3"/>
  <c r="K32" i="3"/>
  <c r="J32" i="3"/>
  <c r="I32" i="3"/>
  <c r="U32" i="3" s="1"/>
  <c r="T31" i="3"/>
  <c r="S31" i="3"/>
  <c r="R31" i="3"/>
  <c r="Q31" i="3"/>
  <c r="P31" i="3"/>
  <c r="O31" i="3"/>
  <c r="N31" i="3"/>
  <c r="M31" i="3"/>
  <c r="L31" i="3"/>
  <c r="K31" i="3"/>
  <c r="J31" i="3"/>
  <c r="I31" i="3"/>
  <c r="U31" i="3" s="1"/>
  <c r="T30" i="3"/>
  <c r="S30" i="3"/>
  <c r="R30" i="3"/>
  <c r="Q30" i="3"/>
  <c r="P30" i="3"/>
  <c r="O30" i="3"/>
  <c r="N30" i="3"/>
  <c r="M30" i="3"/>
  <c r="L30" i="3"/>
  <c r="K30" i="3"/>
  <c r="J30" i="3"/>
  <c r="I30" i="3"/>
  <c r="U30" i="3" s="1"/>
  <c r="T29" i="3"/>
  <c r="S29" i="3"/>
  <c r="R29" i="3"/>
  <c r="Q29" i="3"/>
  <c r="P29" i="3"/>
  <c r="O29" i="3"/>
  <c r="N29" i="3"/>
  <c r="M29" i="3"/>
  <c r="L29" i="3"/>
  <c r="K29" i="3"/>
  <c r="J29" i="3"/>
  <c r="I29" i="3"/>
  <c r="U29" i="3" s="1"/>
  <c r="T28" i="3"/>
  <c r="S28" i="3"/>
  <c r="R28" i="3"/>
  <c r="Q28" i="3"/>
  <c r="P28" i="3"/>
  <c r="O28" i="3"/>
  <c r="N28" i="3"/>
  <c r="M28" i="3"/>
  <c r="U28" i="3" s="1"/>
  <c r="L28" i="3"/>
  <c r="K28" i="3"/>
  <c r="J28" i="3"/>
  <c r="I28" i="3"/>
  <c r="T27" i="3"/>
  <c r="S27" i="3"/>
  <c r="R27" i="3"/>
  <c r="Q27" i="3"/>
  <c r="P27" i="3"/>
  <c r="O27" i="3"/>
  <c r="N27" i="3"/>
  <c r="M27" i="3"/>
  <c r="L27" i="3"/>
  <c r="K27" i="3"/>
  <c r="J27" i="3"/>
  <c r="U27" i="3" s="1"/>
  <c r="I27" i="3"/>
  <c r="T26" i="3"/>
  <c r="S26" i="3"/>
  <c r="R26" i="3"/>
  <c r="Q26" i="3"/>
  <c r="P26" i="3"/>
  <c r="O26" i="3"/>
  <c r="N26" i="3"/>
  <c r="M26" i="3"/>
  <c r="L26" i="3"/>
  <c r="K26" i="3"/>
  <c r="J26" i="3"/>
  <c r="I26" i="3"/>
  <c r="U26" i="3" s="1"/>
  <c r="T25" i="3"/>
  <c r="S25" i="3"/>
  <c r="R25" i="3"/>
  <c r="Q25" i="3"/>
  <c r="P25" i="3"/>
  <c r="O25" i="3"/>
  <c r="N25" i="3"/>
  <c r="M25" i="3"/>
  <c r="L25" i="3"/>
  <c r="K25" i="3"/>
  <c r="J25" i="3"/>
  <c r="I25" i="3"/>
  <c r="U25" i="3" s="1"/>
  <c r="T24" i="3"/>
  <c r="S24" i="3"/>
  <c r="R24" i="3"/>
  <c r="Q24" i="3"/>
  <c r="P24" i="3"/>
  <c r="O24" i="3"/>
  <c r="N24" i="3"/>
  <c r="M24" i="3"/>
  <c r="L24" i="3"/>
  <c r="K24" i="3"/>
  <c r="J24" i="3"/>
  <c r="I24" i="3"/>
  <c r="U24" i="3" s="1"/>
  <c r="T23" i="3"/>
  <c r="S23" i="3"/>
  <c r="R23" i="3"/>
  <c r="Q23" i="3"/>
  <c r="P23" i="3"/>
  <c r="O23" i="3"/>
  <c r="N23" i="3"/>
  <c r="M23" i="3"/>
  <c r="L23" i="3"/>
  <c r="K23" i="3"/>
  <c r="J23" i="3"/>
  <c r="I23" i="3"/>
  <c r="U23" i="3" s="1"/>
  <c r="T22" i="3"/>
  <c r="S22" i="3"/>
  <c r="R22" i="3"/>
  <c r="Q22" i="3"/>
  <c r="P22" i="3"/>
  <c r="O22" i="3"/>
  <c r="N22" i="3"/>
  <c r="M22" i="3"/>
  <c r="L22" i="3"/>
  <c r="K22" i="3"/>
  <c r="J22" i="3"/>
  <c r="I22" i="3"/>
  <c r="U22" i="3" s="1"/>
  <c r="T21" i="3"/>
  <c r="S21" i="3"/>
  <c r="R21" i="3"/>
  <c r="Q21" i="3"/>
  <c r="P21" i="3"/>
  <c r="O21" i="3"/>
  <c r="N21" i="3"/>
  <c r="M21" i="3"/>
  <c r="L21" i="3"/>
  <c r="K21" i="3"/>
  <c r="J21" i="3"/>
  <c r="I21" i="3"/>
  <c r="U21" i="3" s="1"/>
  <c r="T20" i="3"/>
  <c r="S20" i="3"/>
  <c r="R20" i="3"/>
  <c r="Q20" i="3"/>
  <c r="P20" i="3"/>
  <c r="O20" i="3"/>
  <c r="N20" i="3"/>
  <c r="M20" i="3"/>
  <c r="L20" i="3"/>
  <c r="K20" i="3"/>
  <c r="J20" i="3"/>
  <c r="I20" i="3"/>
  <c r="U20" i="3" s="1"/>
  <c r="T19" i="3"/>
  <c r="S19" i="3"/>
  <c r="R19" i="3"/>
  <c r="Q19" i="3"/>
  <c r="P19" i="3"/>
  <c r="O19" i="3"/>
  <c r="N19" i="3"/>
  <c r="M19" i="3"/>
  <c r="L19" i="3"/>
  <c r="K19" i="3"/>
  <c r="J19" i="3"/>
  <c r="U19" i="3" s="1"/>
  <c r="I19" i="3"/>
  <c r="T18" i="3"/>
  <c r="S18" i="3"/>
  <c r="R18" i="3"/>
  <c r="Q18" i="3"/>
  <c r="P18" i="3"/>
  <c r="O18" i="3"/>
  <c r="N18" i="3"/>
  <c r="M18" i="3"/>
  <c r="L18" i="3"/>
  <c r="K18" i="3"/>
  <c r="J18" i="3"/>
  <c r="I18" i="3"/>
  <c r="U18" i="3" s="1"/>
  <c r="T17" i="3"/>
  <c r="S17" i="3"/>
  <c r="R17" i="3"/>
  <c r="Q17" i="3"/>
  <c r="P17" i="3"/>
  <c r="O17" i="3"/>
  <c r="N17" i="3"/>
  <c r="M17" i="3"/>
  <c r="L17" i="3"/>
  <c r="K17" i="3"/>
  <c r="J17" i="3"/>
  <c r="I17" i="3"/>
  <c r="U17" i="3" s="1"/>
  <c r="T16" i="3"/>
  <c r="S16" i="3"/>
  <c r="R16" i="3"/>
  <c r="Q16" i="3"/>
  <c r="P16" i="3"/>
  <c r="O16" i="3"/>
  <c r="N16" i="3"/>
  <c r="M16" i="3"/>
  <c r="L16" i="3"/>
  <c r="K16" i="3"/>
  <c r="J16" i="3"/>
  <c r="I16" i="3"/>
  <c r="U16" i="3" s="1"/>
  <c r="T15" i="3"/>
  <c r="S15" i="3"/>
  <c r="R15" i="3"/>
  <c r="Q15" i="3"/>
  <c r="P15" i="3"/>
  <c r="O15" i="3"/>
  <c r="N15" i="3"/>
  <c r="M15" i="3"/>
  <c r="L15" i="3"/>
  <c r="K15" i="3"/>
  <c r="J15" i="3"/>
  <c r="I15" i="3"/>
  <c r="U15" i="3" s="1"/>
  <c r="T14" i="3"/>
  <c r="S14" i="3"/>
  <c r="R14" i="3"/>
  <c r="Q14" i="3"/>
  <c r="P14" i="3"/>
  <c r="O14" i="3"/>
  <c r="N14" i="3"/>
  <c r="M14" i="3"/>
  <c r="L14" i="3"/>
  <c r="K14" i="3"/>
  <c r="J14" i="3"/>
  <c r="I14" i="3"/>
  <c r="U14" i="3" s="1"/>
  <c r="T13" i="3"/>
  <c r="S13" i="3"/>
  <c r="R13" i="3"/>
  <c r="Q13" i="3"/>
  <c r="P13" i="3"/>
  <c r="O13" i="3"/>
  <c r="N13" i="3"/>
  <c r="M13" i="3"/>
  <c r="L13" i="3"/>
  <c r="K13" i="3"/>
  <c r="J13" i="3"/>
  <c r="I13" i="3"/>
  <c r="U13" i="3" s="1"/>
  <c r="T12" i="3"/>
  <c r="S12" i="3"/>
  <c r="R12" i="3"/>
  <c r="Q12" i="3"/>
  <c r="P12" i="3"/>
  <c r="O12" i="3"/>
  <c r="N12" i="3"/>
  <c r="M12" i="3"/>
  <c r="L12" i="3"/>
  <c r="K12" i="3"/>
  <c r="J12" i="3"/>
  <c r="I12" i="3"/>
  <c r="U12" i="3" s="1"/>
  <c r="T11" i="3"/>
  <c r="S11" i="3"/>
  <c r="R11" i="3"/>
  <c r="Q11" i="3"/>
  <c r="P11" i="3"/>
  <c r="O11" i="3"/>
  <c r="N11" i="3"/>
  <c r="M11" i="3"/>
  <c r="L11" i="3"/>
  <c r="K11" i="3"/>
  <c r="J11" i="3"/>
  <c r="U11" i="3" s="1"/>
  <c r="I11" i="3"/>
  <c r="T10" i="3"/>
  <c r="S10" i="3"/>
  <c r="R10" i="3"/>
  <c r="Q10" i="3"/>
  <c r="P10" i="3"/>
  <c r="O10" i="3"/>
  <c r="N10" i="3"/>
  <c r="M10" i="3"/>
  <c r="L10" i="3"/>
  <c r="K10" i="3"/>
  <c r="J10" i="3"/>
  <c r="U10" i="3" s="1"/>
  <c r="I10" i="3"/>
  <c r="T9" i="3"/>
  <c r="S9" i="3"/>
  <c r="R9" i="3"/>
  <c r="Q9" i="3"/>
  <c r="P9" i="3"/>
  <c r="O9" i="3"/>
  <c r="N9" i="3"/>
  <c r="M9" i="3"/>
  <c r="L9" i="3"/>
  <c r="K9" i="3"/>
  <c r="J9" i="3"/>
  <c r="U9" i="3" s="1"/>
  <c r="I9" i="3"/>
  <c r="T8" i="3"/>
  <c r="S8" i="3"/>
  <c r="R8" i="3"/>
  <c r="Q8" i="3"/>
  <c r="P8" i="3"/>
  <c r="O8" i="3"/>
  <c r="N8" i="3"/>
  <c r="M8" i="3"/>
  <c r="L8" i="3"/>
  <c r="K8" i="3"/>
  <c r="J8" i="3"/>
  <c r="I8" i="3"/>
  <c r="U8" i="3" s="1"/>
  <c r="T7" i="3"/>
  <c r="S7" i="3"/>
  <c r="R7" i="3"/>
  <c r="Q7" i="3"/>
  <c r="P7" i="3"/>
  <c r="O7" i="3"/>
  <c r="N7" i="3"/>
  <c r="M7" i="3"/>
  <c r="L7" i="3"/>
  <c r="K7" i="3"/>
  <c r="J7" i="3"/>
  <c r="I7" i="3"/>
  <c r="U7" i="3" s="1"/>
  <c r="T6" i="3"/>
  <c r="S6" i="3"/>
  <c r="R6" i="3"/>
  <c r="Q6" i="3"/>
  <c r="P6" i="3"/>
  <c r="O6" i="3"/>
  <c r="N6" i="3"/>
  <c r="M6" i="3"/>
  <c r="L6" i="3"/>
  <c r="K6" i="3"/>
  <c r="J6" i="3"/>
  <c r="I6" i="3"/>
  <c r="U6" i="3" s="1"/>
  <c r="T5" i="3"/>
  <c r="S5" i="3"/>
  <c r="R5" i="3"/>
  <c r="Q5" i="3"/>
  <c r="P5" i="3"/>
  <c r="O5" i="3"/>
  <c r="N5" i="3"/>
  <c r="M5" i="3"/>
  <c r="L5" i="3"/>
  <c r="K5" i="3"/>
  <c r="J5" i="3"/>
  <c r="I5" i="3"/>
  <c r="U5" i="3" s="1"/>
  <c r="T4" i="3"/>
  <c r="S4" i="3"/>
  <c r="R4" i="3"/>
  <c r="Q4" i="3"/>
  <c r="P4" i="3"/>
  <c r="O4" i="3"/>
  <c r="N4" i="3"/>
  <c r="M4" i="3"/>
  <c r="L4" i="3"/>
  <c r="K4" i="3"/>
  <c r="J4" i="3"/>
  <c r="I4" i="3"/>
  <c r="U4" i="3" s="1"/>
  <c r="T3" i="3"/>
  <c r="S3" i="3"/>
  <c r="R3" i="3"/>
  <c r="Q3" i="3"/>
  <c r="P3" i="3"/>
  <c r="O3" i="3"/>
  <c r="N3" i="3"/>
  <c r="M3" i="3"/>
  <c r="L3" i="3"/>
  <c r="K3" i="3"/>
  <c r="J3" i="3"/>
  <c r="U3" i="3" s="1"/>
  <c r="I3" i="3"/>
  <c r="T2" i="3"/>
  <c r="S2" i="3"/>
  <c r="R2" i="3"/>
  <c r="Q2" i="3"/>
  <c r="P2" i="3"/>
  <c r="O2" i="3"/>
  <c r="N2" i="3"/>
  <c r="M2" i="3"/>
  <c r="L2" i="3"/>
  <c r="K2" i="3"/>
  <c r="J2" i="3"/>
  <c r="I2" i="3"/>
  <c r="U2" i="3" s="1"/>
  <c r="H1" i="2"/>
  <c r="I46" i="9" l="1"/>
  <c r="I46" i="14"/>
  <c r="I46" i="7"/>
  <c r="I46" i="6"/>
  <c r="I46" i="8"/>
  <c r="P12" i="5"/>
  <c r="P15" i="5" s="1"/>
  <c r="I5" i="14"/>
  <c r="I5" i="7"/>
  <c r="I5" i="6"/>
  <c r="I5" i="9"/>
  <c r="I5" i="8"/>
  <c r="I9" i="14"/>
  <c r="I9" i="9"/>
  <c r="I9" i="8"/>
  <c r="I9" i="7"/>
  <c r="I9" i="6"/>
  <c r="I21" i="9"/>
  <c r="I21" i="14"/>
  <c r="I21" i="7"/>
  <c r="I21" i="6"/>
  <c r="I21" i="8"/>
  <c r="I29" i="14"/>
  <c r="I29" i="9"/>
  <c r="I29" i="7"/>
  <c r="I29" i="6"/>
  <c r="I29" i="8"/>
  <c r="I41" i="14"/>
  <c r="I41" i="9"/>
  <c r="I41" i="6"/>
  <c r="I41" i="8"/>
  <c r="I41" i="7"/>
  <c r="I45" i="14"/>
  <c r="I45" i="9"/>
  <c r="I45" i="7"/>
  <c r="I45" i="6"/>
  <c r="I45" i="8"/>
  <c r="I10" i="12"/>
  <c r="I10" i="11"/>
  <c r="I10" i="10"/>
  <c r="I10" i="13"/>
  <c r="I18" i="12"/>
  <c r="I18" i="11"/>
  <c r="I18" i="10"/>
  <c r="I18" i="13"/>
  <c r="I36" i="9"/>
  <c r="I36" i="14"/>
  <c r="I36" i="7"/>
  <c r="I36" i="6"/>
  <c r="I36" i="8"/>
  <c r="P13" i="5"/>
  <c r="P16" i="5" s="1"/>
  <c r="I7" i="9"/>
  <c r="I7" i="14"/>
  <c r="I7" i="6"/>
  <c r="I7" i="8"/>
  <c r="I7" i="7"/>
  <c r="I23" i="9"/>
  <c r="I23" i="14"/>
  <c r="I23" i="6"/>
  <c r="I23" i="8"/>
  <c r="I23" i="7"/>
  <c r="I35" i="14"/>
  <c r="I35" i="9"/>
  <c r="I35" i="8"/>
  <c r="I35" i="7"/>
  <c r="I35" i="6"/>
  <c r="I43" i="14"/>
  <c r="I43" i="9"/>
  <c r="I43" i="8"/>
  <c r="I43" i="7"/>
  <c r="I43" i="6"/>
  <c r="I8" i="12"/>
  <c r="I8" i="11"/>
  <c r="I8" i="10"/>
  <c r="I8" i="13"/>
  <c r="I16" i="12"/>
  <c r="I16" i="11"/>
  <c r="I16" i="10"/>
  <c r="I16" i="13"/>
  <c r="I24" i="12"/>
  <c r="I24" i="11"/>
  <c r="I24" i="10"/>
  <c r="I24" i="13"/>
  <c r="I30" i="13"/>
  <c r="I30" i="12"/>
  <c r="I30" i="11"/>
  <c r="I30" i="10"/>
  <c r="I34" i="12"/>
  <c r="I34" i="11"/>
  <c r="I34" i="10"/>
  <c r="I34" i="13"/>
  <c r="I40" i="12"/>
  <c r="I40" i="11"/>
  <c r="I40" i="10"/>
  <c r="I40" i="13"/>
  <c r="I11" i="14"/>
  <c r="I11" i="9"/>
  <c r="I11" i="8"/>
  <c r="I11" i="7"/>
  <c r="I11" i="6"/>
  <c r="I17" i="14"/>
  <c r="I17" i="9"/>
  <c r="I17" i="6"/>
  <c r="I17" i="8"/>
  <c r="I17" i="7"/>
  <c r="I25" i="14"/>
  <c r="I25" i="9"/>
  <c r="I25" i="6"/>
  <c r="I25" i="7"/>
  <c r="I25" i="8"/>
  <c r="I33" i="14"/>
  <c r="I33" i="9"/>
  <c r="I33" i="6"/>
  <c r="I33" i="8"/>
  <c r="I33" i="7"/>
  <c r="I47" i="9"/>
  <c r="I47" i="14"/>
  <c r="I47" i="6"/>
  <c r="I47" i="8"/>
  <c r="I47" i="7"/>
  <c r="I51" i="14"/>
  <c r="I51" i="9"/>
  <c r="I51" i="8"/>
  <c r="I51" i="7"/>
  <c r="I51" i="6"/>
  <c r="I14" i="13"/>
  <c r="I14" i="12"/>
  <c r="I14" i="11"/>
  <c r="I14" i="10"/>
  <c r="I26" i="12"/>
  <c r="I26" i="11"/>
  <c r="I26" i="10"/>
  <c r="I26" i="13"/>
  <c r="I32" i="12"/>
  <c r="I32" i="11"/>
  <c r="I32" i="10"/>
  <c r="I32" i="13"/>
  <c r="I36" i="13"/>
  <c r="I36" i="12"/>
  <c r="I36" i="11"/>
  <c r="I36" i="10"/>
  <c r="I13" i="9"/>
  <c r="I13" i="14"/>
  <c r="I13" i="7"/>
  <c r="I13" i="6"/>
  <c r="I13" i="8"/>
  <c r="I15" i="9"/>
  <c r="I15" i="14"/>
  <c r="I15" i="8"/>
  <c r="I15" i="7"/>
  <c r="I15" i="6"/>
  <c r="I19" i="14"/>
  <c r="I19" i="9"/>
  <c r="I19" i="8"/>
  <c r="I19" i="7"/>
  <c r="I19" i="6"/>
  <c r="I27" i="14"/>
  <c r="I27" i="9"/>
  <c r="I27" i="8"/>
  <c r="I27" i="7"/>
  <c r="I27" i="6"/>
  <c r="I37" i="14"/>
  <c r="I37" i="9"/>
  <c r="I37" i="7"/>
  <c r="I37" i="6"/>
  <c r="I37" i="8"/>
  <c r="I49" i="14"/>
  <c r="I49" i="9"/>
  <c r="I49" i="6"/>
  <c r="I49" i="8"/>
  <c r="I49" i="7"/>
  <c r="I6" i="13"/>
  <c r="I6" i="12"/>
  <c r="I6" i="11"/>
  <c r="I6" i="10"/>
  <c r="I12" i="13"/>
  <c r="I12" i="12"/>
  <c r="I12" i="11"/>
  <c r="I12" i="10"/>
  <c r="I22" i="13"/>
  <c r="I22" i="12"/>
  <c r="I22" i="11"/>
  <c r="I22" i="10"/>
  <c r="I28" i="13"/>
  <c r="I28" i="12"/>
  <c r="I28" i="11"/>
  <c r="I28" i="10"/>
  <c r="I38" i="13"/>
  <c r="I38" i="12"/>
  <c r="I38" i="11"/>
  <c r="I38" i="10"/>
  <c r="I20" i="13"/>
  <c r="I20" i="12"/>
  <c r="I20" i="11"/>
  <c r="I20" i="10"/>
  <c r="I10" i="14"/>
  <c r="I10" i="9"/>
  <c r="I10" i="8"/>
  <c r="I10" i="7"/>
  <c r="I10" i="6"/>
  <c r="I16" i="9"/>
  <c r="I16" i="14"/>
  <c r="I16" i="8"/>
  <c r="I16" i="7"/>
  <c r="I16" i="6"/>
  <c r="I18" i="14"/>
  <c r="I18" i="9"/>
  <c r="I18" i="8"/>
  <c r="I18" i="7"/>
  <c r="I18" i="6"/>
  <c r="I28" i="9"/>
  <c r="I28" i="14"/>
  <c r="I28" i="7"/>
  <c r="I28" i="6"/>
  <c r="I28" i="8"/>
  <c r="I31" i="9"/>
  <c r="I31" i="14"/>
  <c r="I31" i="6"/>
  <c r="I31" i="8"/>
  <c r="I31" i="7"/>
  <c r="I32" i="9"/>
  <c r="I32" i="14"/>
  <c r="I32" i="6"/>
  <c r="I32" i="8"/>
  <c r="I32" i="7"/>
  <c r="I39" i="9"/>
  <c r="I39" i="14"/>
  <c r="I39" i="6"/>
  <c r="I39" i="8"/>
  <c r="I39" i="7"/>
  <c r="I44" i="9"/>
  <c r="I44" i="14"/>
  <c r="I44" i="7"/>
  <c r="I44" i="6"/>
  <c r="I44" i="8"/>
  <c r="I50" i="14"/>
  <c r="I50" i="9"/>
  <c r="I50" i="7"/>
  <c r="I50" i="8"/>
  <c r="I50" i="6"/>
  <c r="P14" i="5"/>
  <c r="P17" i="5" s="1"/>
  <c r="I5" i="13"/>
  <c r="I5" i="12"/>
  <c r="I5" i="11"/>
  <c r="I5" i="10"/>
  <c r="I9" i="12"/>
  <c r="I9" i="11"/>
  <c r="I9" i="10"/>
  <c r="I9" i="13"/>
  <c r="I11" i="13"/>
  <c r="I11" i="12"/>
  <c r="I11" i="11"/>
  <c r="I11" i="10"/>
  <c r="I13" i="13"/>
  <c r="I13" i="12"/>
  <c r="I13" i="11"/>
  <c r="I13" i="10"/>
  <c r="I15" i="13"/>
  <c r="I15" i="12"/>
  <c r="I15" i="11"/>
  <c r="I15" i="10"/>
  <c r="I17" i="12"/>
  <c r="I17" i="11"/>
  <c r="I17" i="10"/>
  <c r="I17" i="13"/>
  <c r="I19" i="13"/>
  <c r="I19" i="12"/>
  <c r="I19" i="11"/>
  <c r="I19" i="10"/>
  <c r="I21" i="13"/>
  <c r="I21" i="12"/>
  <c r="I21" i="11"/>
  <c r="I21" i="10"/>
  <c r="I23" i="13"/>
  <c r="I23" i="12"/>
  <c r="I23" i="11"/>
  <c r="I23" i="10"/>
  <c r="I25" i="12"/>
  <c r="I25" i="11"/>
  <c r="I25" i="10"/>
  <c r="I25" i="13"/>
  <c r="I27" i="13"/>
  <c r="I27" i="12"/>
  <c r="I27" i="11"/>
  <c r="I27" i="10"/>
  <c r="I29" i="13"/>
  <c r="I29" i="12"/>
  <c r="I29" i="11"/>
  <c r="I29" i="10"/>
  <c r="I31" i="13"/>
  <c r="I31" i="12"/>
  <c r="I31" i="11"/>
  <c r="I31" i="10"/>
  <c r="I33" i="12"/>
  <c r="I33" i="11"/>
  <c r="I33" i="10"/>
  <c r="I33" i="13"/>
  <c r="I35" i="13"/>
  <c r="I35" i="12"/>
  <c r="I35" i="11"/>
  <c r="I35" i="10"/>
  <c r="I37" i="13"/>
  <c r="I37" i="12"/>
  <c r="I37" i="11"/>
  <c r="I37" i="10"/>
  <c r="I39" i="13"/>
  <c r="I39" i="12"/>
  <c r="I39" i="11"/>
  <c r="I39" i="10"/>
  <c r="I41" i="12"/>
  <c r="I41" i="11"/>
  <c r="I41" i="10"/>
  <c r="I41" i="13"/>
  <c r="I8" i="9"/>
  <c r="I8" i="14"/>
  <c r="I8" i="8"/>
  <c r="I8" i="7"/>
  <c r="I8" i="6"/>
  <c r="I20" i="14"/>
  <c r="I20" i="9"/>
  <c r="I20" i="7"/>
  <c r="I20" i="6"/>
  <c r="I20" i="8"/>
  <c r="I24" i="9"/>
  <c r="I24" i="14"/>
  <c r="I24" i="6"/>
  <c r="I24" i="8"/>
  <c r="I24" i="7"/>
  <c r="I26" i="14"/>
  <c r="I26" i="9"/>
  <c r="I26" i="7"/>
  <c r="I26" i="8"/>
  <c r="I26" i="6"/>
  <c r="I34" i="14"/>
  <c r="I34" i="9"/>
  <c r="I34" i="7"/>
  <c r="I34" i="8"/>
  <c r="I34" i="6"/>
  <c r="I40" i="9"/>
  <c r="I40" i="14"/>
  <c r="I40" i="6"/>
  <c r="I40" i="8"/>
  <c r="I40" i="7"/>
  <c r="I42" i="14"/>
  <c r="I42" i="9"/>
  <c r="I42" i="7"/>
  <c r="I42" i="8"/>
  <c r="I42" i="6"/>
  <c r="I48" i="9"/>
  <c r="I48" i="14"/>
  <c r="I48" i="6"/>
  <c r="I48" i="8"/>
  <c r="I48" i="7"/>
  <c r="I7" i="13"/>
  <c r="I7" i="12"/>
  <c r="I7" i="11"/>
  <c r="I7" i="10"/>
  <c r="I6" i="14"/>
  <c r="I6" i="7"/>
  <c r="I6" i="6"/>
  <c r="I6" i="9"/>
  <c r="I6" i="8"/>
  <c r="I12" i="14"/>
  <c r="I12" i="9"/>
  <c r="I12" i="7"/>
  <c r="I12" i="6"/>
  <c r="I12" i="8"/>
  <c r="I14" i="9"/>
  <c r="I14" i="14"/>
  <c r="I14" i="7"/>
  <c r="I14" i="6"/>
  <c r="I14" i="8"/>
  <c r="I22" i="9"/>
  <c r="I22" i="14"/>
  <c r="I22" i="6"/>
  <c r="I22" i="8"/>
  <c r="I22" i="7"/>
  <c r="I30" i="9"/>
  <c r="I30" i="14"/>
  <c r="I30" i="7"/>
  <c r="I30" i="6"/>
  <c r="I30" i="8"/>
  <c r="I38" i="9"/>
  <c r="I38" i="14"/>
  <c r="I38" i="7"/>
  <c r="I38" i="6"/>
  <c r="I38" i="8"/>
  <c r="AJ4" i="22"/>
  <c r="AT4" i="22"/>
  <c r="AM57" i="7"/>
  <c r="AT3" i="22"/>
  <c r="AJ3" i="22"/>
  <c r="AO2" i="22"/>
  <c r="AO3" i="22"/>
  <c r="AT6" i="22"/>
  <c r="AJ6" i="22"/>
  <c r="AJ5" i="22"/>
  <c r="AJ8" i="22" s="1"/>
  <c r="AT2" i="22"/>
  <c r="AT7" i="22" s="1"/>
  <c r="AC43" i="23"/>
  <c r="AC51" i="23"/>
  <c r="AC59" i="23"/>
  <c r="AC67" i="23"/>
  <c r="AC75" i="23"/>
  <c r="AC3" i="23"/>
  <c r="AI5" i="23" s="1"/>
  <c r="AC33" i="23"/>
  <c r="AC35" i="23"/>
  <c r="AC37" i="23"/>
  <c r="AC39" i="23"/>
  <c r="AC41" i="23"/>
  <c r="AC123" i="23"/>
  <c r="AC125" i="23"/>
  <c r="AC127" i="23"/>
  <c r="AC129" i="23"/>
  <c r="AC131" i="23"/>
  <c r="AC133" i="23"/>
  <c r="AC62" i="23"/>
  <c r="AC89" i="23"/>
  <c r="AC97" i="23"/>
  <c r="AC105" i="23"/>
  <c r="AC113" i="23"/>
  <c r="AC121" i="23"/>
  <c r="AC11" i="23"/>
  <c r="AC13" i="23"/>
  <c r="AC15" i="23"/>
  <c r="AC17" i="23"/>
  <c r="AC19" i="23"/>
  <c r="AC21" i="23"/>
  <c r="AC7" i="23"/>
  <c r="AC47" i="23"/>
  <c r="AC55" i="23"/>
  <c r="AC63" i="23"/>
  <c r="AC71" i="23"/>
  <c r="AC79" i="23"/>
  <c r="AC124" i="23"/>
  <c r="AC126" i="23"/>
  <c r="AC128" i="23"/>
  <c r="AC130" i="23"/>
  <c r="AC132" i="23"/>
  <c r="AC134" i="23"/>
  <c r="AC90" i="23"/>
  <c r="AO5" i="22"/>
  <c r="AC117" i="23"/>
  <c r="AC10" i="23"/>
  <c r="AC12" i="23"/>
  <c r="AC14" i="23"/>
  <c r="AC16" i="23"/>
  <c r="AC18" i="23"/>
  <c r="AC20" i="23"/>
  <c r="AC4" i="23"/>
  <c r="AC6" i="23"/>
  <c r="D4" i="5"/>
  <c r="AI57" i="6"/>
  <c r="AT5" i="22"/>
  <c r="AT8" i="22" s="1"/>
  <c r="AC32" i="23"/>
  <c r="AC34" i="23"/>
  <c r="AC36" i="23"/>
  <c r="AC38" i="23"/>
  <c r="AC40" i="23"/>
  <c r="AJ2" i="22"/>
  <c r="AJ7" i="22" s="1"/>
  <c r="AC101" i="23"/>
  <c r="AC109" i="23"/>
  <c r="AC44" i="23"/>
  <c r="AC48" i="23"/>
  <c r="AC52" i="23"/>
  <c r="AC56" i="23"/>
  <c r="AC60" i="23"/>
  <c r="AC64" i="23"/>
  <c r="AC68" i="23"/>
  <c r="AC72" i="23"/>
  <c r="AC76" i="23"/>
  <c r="AC80" i="23"/>
  <c r="AC85" i="23"/>
  <c r="AC92" i="23"/>
  <c r="AC93" i="23"/>
  <c r="AC94" i="23"/>
  <c r="AC108" i="23"/>
  <c r="AC110" i="23"/>
  <c r="AC99" i="23"/>
  <c r="AC107" i="23"/>
  <c r="AC104" i="23"/>
  <c r="AC106" i="23"/>
  <c r="AC45" i="23"/>
  <c r="AI8" i="23" s="1"/>
  <c r="AC49" i="23"/>
  <c r="AC53" i="23"/>
  <c r="AC57" i="23"/>
  <c r="AC61" i="23"/>
  <c r="AC65" i="23"/>
  <c r="AC69" i="23"/>
  <c r="AC73" i="23"/>
  <c r="AC77" i="23"/>
  <c r="AC81" i="23"/>
  <c r="AC96" i="23"/>
  <c r="AC98" i="23"/>
  <c r="AC112" i="23"/>
  <c r="AC114" i="23"/>
  <c r="AO8" i="22"/>
  <c r="AC120" i="23"/>
  <c r="AC122" i="23"/>
  <c r="AC42" i="23"/>
  <c r="AC50" i="23"/>
  <c r="AC58" i="23"/>
  <c r="AC66" i="23"/>
  <c r="AC74" i="23"/>
  <c r="AC88" i="23"/>
  <c r="AC100" i="23"/>
  <c r="AC102" i="23"/>
  <c r="AC116" i="23"/>
  <c r="AC118" i="23"/>
  <c r="AO7" i="22"/>
  <c r="AC95" i="23"/>
  <c r="AC103" i="23"/>
  <c r="AC111" i="23"/>
  <c r="AC119" i="23"/>
  <c r="AC83" i="23"/>
  <c r="AC87" i="23"/>
  <c r="AC91" i="23"/>
  <c r="M14" i="6"/>
  <c r="AI55" i="6"/>
  <c r="AI60" i="6" s="1"/>
  <c r="AI9" i="7" s="1"/>
  <c r="R55" i="6"/>
  <c r="R60" i="6" s="1"/>
  <c r="R19" i="7" s="1"/>
  <c r="AI54" i="8"/>
  <c r="AI58" i="8" s="1"/>
  <c r="AI54" i="9"/>
  <c r="AI54" i="7"/>
  <c r="W45" i="13"/>
  <c r="W45" i="12"/>
  <c r="W45" i="11"/>
  <c r="W45" i="10"/>
  <c r="AG54" i="8"/>
  <c r="AG54" i="9"/>
  <c r="AG54" i="7"/>
  <c r="Y46" i="12"/>
  <c r="Y46" i="13"/>
  <c r="Y46" i="10"/>
  <c r="Y46" i="11"/>
  <c r="Z56" i="9"/>
  <c r="Z56" i="8"/>
  <c r="Z56" i="7"/>
  <c r="Z58" i="6"/>
  <c r="AI55" i="9"/>
  <c r="AI55" i="8"/>
  <c r="AI55" i="7"/>
  <c r="M13" i="6"/>
  <c r="Q54" i="8"/>
  <c r="Q58" i="8" s="1"/>
  <c r="Q54" i="9"/>
  <c r="Q54" i="7"/>
  <c r="AD55" i="9"/>
  <c r="AD55" i="8"/>
  <c r="AD55" i="7"/>
  <c r="AD57" i="6"/>
  <c r="AG56" i="9"/>
  <c r="AG56" i="8"/>
  <c r="AG56" i="7"/>
  <c r="AG58" i="6"/>
  <c r="AA44" i="12"/>
  <c r="AA44" i="13"/>
  <c r="AA44" i="11"/>
  <c r="AA44" i="10"/>
  <c r="AA56" i="9"/>
  <c r="AA56" i="8"/>
  <c r="AA56" i="7"/>
  <c r="AA58" i="6"/>
  <c r="AI56" i="9"/>
  <c r="AI56" i="8"/>
  <c r="AI56" i="7"/>
  <c r="AI58" i="6"/>
  <c r="D18" i="5"/>
  <c r="AB56" i="6" s="1"/>
  <c r="D28" i="5"/>
  <c r="AL56" i="6" s="1"/>
  <c r="AA45" i="12"/>
  <c r="AA45" i="13"/>
  <c r="AA45" i="11"/>
  <c r="AA45" i="10"/>
  <c r="U46" i="13"/>
  <c r="U46" i="12"/>
  <c r="U46" i="10"/>
  <c r="U46" i="11"/>
  <c r="F41" i="5"/>
  <c r="AJ54" i="8"/>
  <c r="AJ58" i="8" s="1"/>
  <c r="AJ54" i="9"/>
  <c r="AJ54" i="7"/>
  <c r="AB55" i="9"/>
  <c r="AB55" i="8"/>
  <c r="AB57" i="6"/>
  <c r="AB55" i="7"/>
  <c r="AL55" i="9"/>
  <c r="AL55" i="8"/>
  <c r="AL55" i="7"/>
  <c r="AL57" i="6"/>
  <c r="AA46" i="12"/>
  <c r="AA46" i="13"/>
  <c r="AA46" i="11"/>
  <c r="AA46" i="10"/>
  <c r="W54" i="8"/>
  <c r="W58" i="8" s="1"/>
  <c r="W54" i="9"/>
  <c r="W54" i="7"/>
  <c r="AJ55" i="9"/>
  <c r="AJ55" i="8"/>
  <c r="AJ55" i="7"/>
  <c r="AJ57" i="6"/>
  <c r="F18" i="5"/>
  <c r="F28" i="5"/>
  <c r="R44" i="12"/>
  <c r="R44" i="13"/>
  <c r="R44" i="10"/>
  <c r="R44" i="11"/>
  <c r="AH54" i="8"/>
  <c r="AH54" i="9"/>
  <c r="AH54" i="7"/>
  <c r="AJ56" i="9"/>
  <c r="AJ56" i="8"/>
  <c r="AJ56" i="7"/>
  <c r="AJ58" i="6"/>
  <c r="AD54" i="8"/>
  <c r="AD54" i="9"/>
  <c r="AD54" i="7"/>
  <c r="W44" i="13"/>
  <c r="W44" i="12"/>
  <c r="W44" i="10"/>
  <c r="W44" i="11"/>
  <c r="AH55" i="9"/>
  <c r="AH57" i="6"/>
  <c r="AH55" i="8"/>
  <c r="AH55" i="7"/>
  <c r="Z44" i="12"/>
  <c r="Z48" i="12" s="1"/>
  <c r="Z44" i="13"/>
  <c r="Z44" i="11"/>
  <c r="Z48" i="11" s="1"/>
  <c r="Z44" i="10"/>
  <c r="V56" i="7"/>
  <c r="AD56" i="7"/>
  <c r="U56" i="9"/>
  <c r="U56" i="8"/>
  <c r="AH56" i="9"/>
  <c r="AH56" i="8"/>
  <c r="Z45" i="12"/>
  <c r="Z45" i="13"/>
  <c r="Z45" i="11"/>
  <c r="Z45" i="10"/>
  <c r="O54" i="8"/>
  <c r="O58" i="8" s="1"/>
  <c r="O54" i="9"/>
  <c r="O54" i="7"/>
  <c r="U54" i="8"/>
  <c r="U58" i="8" s="1"/>
  <c r="U54" i="9"/>
  <c r="U54" i="7"/>
  <c r="X54" i="8"/>
  <c r="X58" i="8" s="1"/>
  <c r="X54" i="9"/>
  <c r="X54" i="7"/>
  <c r="Y44" i="12"/>
  <c r="Y44" i="13"/>
  <c r="Y44" i="10"/>
  <c r="Y44" i="11"/>
  <c r="Z46" i="12"/>
  <c r="Z46" i="13"/>
  <c r="Z46" i="11"/>
  <c r="Z46" i="10"/>
  <c r="Z54" i="8"/>
  <c r="Z58" i="8" s="1"/>
  <c r="Z35" i="9" s="1"/>
  <c r="Z54" i="9"/>
  <c r="Z54" i="7"/>
  <c r="AD56" i="8"/>
  <c r="L54" i="8"/>
  <c r="L58" i="8" s="1"/>
  <c r="L54" i="9"/>
  <c r="R54" i="8"/>
  <c r="R58" i="8" s="1"/>
  <c r="R54" i="9"/>
  <c r="R54" i="7"/>
  <c r="U58" i="6"/>
  <c r="AD58" i="6"/>
  <c r="AA54" i="8"/>
  <c r="AA58" i="8" s="1"/>
  <c r="AA43" i="9" s="1"/>
  <c r="AA54" i="9"/>
  <c r="AA54" i="7"/>
  <c r="M38" i="6"/>
  <c r="P54" i="8"/>
  <c r="P58" i="8" s="1"/>
  <c r="P54" i="9"/>
  <c r="P54" i="7"/>
  <c r="Y55" i="6"/>
  <c r="AE54" i="8"/>
  <c r="AE54" i="9"/>
  <c r="AE54" i="7"/>
  <c r="AK54" i="8"/>
  <c r="AK58" i="8" s="1"/>
  <c r="AK54" i="9"/>
  <c r="AK54" i="7"/>
  <c r="AH56" i="7"/>
  <c r="V58" i="6"/>
  <c r="AH58" i="6"/>
  <c r="V56" i="8"/>
  <c r="M25" i="6"/>
  <c r="R51" i="7"/>
  <c r="R51" i="9" s="1"/>
  <c r="M54" i="8"/>
  <c r="M58" i="8" s="1"/>
  <c r="M54" i="9"/>
  <c r="M54" i="7"/>
  <c r="S54" i="8"/>
  <c r="S54" i="9"/>
  <c r="S54" i="7"/>
  <c r="AC54" i="8"/>
  <c r="AC58" i="8" s="1"/>
  <c r="AC54" i="9"/>
  <c r="AC54" i="7"/>
  <c r="AF54" i="8"/>
  <c r="AF54" i="9"/>
  <c r="AF54" i="7"/>
  <c r="X43" i="11"/>
  <c r="Y43" i="11"/>
  <c r="M47" i="10"/>
  <c r="M47" i="11" s="1"/>
  <c r="L43" i="10"/>
  <c r="P43" i="10"/>
  <c r="S43" i="10"/>
  <c r="V43" i="10"/>
  <c r="Y43" i="10"/>
  <c r="P47" i="10"/>
  <c r="P47" i="12" s="1"/>
  <c r="V47" i="10"/>
  <c r="V47" i="11" s="1"/>
  <c r="O43" i="10"/>
  <c r="R43" i="10"/>
  <c r="U43" i="10"/>
  <c r="X43" i="10"/>
  <c r="X48" i="10" s="1"/>
  <c r="AA43" i="10"/>
  <c r="O47" i="10"/>
  <c r="O47" i="11" s="1"/>
  <c r="U47" i="10"/>
  <c r="U47" i="11" s="1"/>
  <c r="X47" i="10"/>
  <c r="N43" i="10"/>
  <c r="T43" i="10"/>
  <c r="Z43" i="10"/>
  <c r="N47" i="10"/>
  <c r="N47" i="11" s="1"/>
  <c r="T47" i="10"/>
  <c r="T47" i="11" s="1"/>
  <c r="Z47" i="10"/>
  <c r="M43" i="10"/>
  <c r="Q43" i="10"/>
  <c r="W43" i="10"/>
  <c r="AA51" i="9"/>
  <c r="AA47" i="9"/>
  <c r="AA41" i="9"/>
  <c r="AA50" i="9"/>
  <c r="AA46" i="9"/>
  <c r="AA20" i="9"/>
  <c r="AA35" i="9"/>
  <c r="AA32" i="9"/>
  <c r="AA30" i="9"/>
  <c r="AA26" i="9"/>
  <c r="AA22" i="9"/>
  <c r="AA27" i="9"/>
  <c r="AA14" i="9"/>
  <c r="AA10" i="9"/>
  <c r="AA19" i="9"/>
  <c r="AA12" i="9"/>
  <c r="AA8" i="9"/>
  <c r="M67" i="6"/>
  <c r="M69" i="6"/>
  <c r="M63" i="6"/>
  <c r="AF53" i="7"/>
  <c r="AE53" i="7"/>
  <c r="AA53" i="7"/>
  <c r="AA58" i="7" s="1"/>
  <c r="Z53" i="7"/>
  <c r="Z58" i="7" s="1"/>
  <c r="M66" i="6"/>
  <c r="AG53" i="7"/>
  <c r="M68" i="6"/>
  <c r="M22" i="6"/>
  <c r="O55" i="6"/>
  <c r="O60" i="6" s="1"/>
  <c r="O33" i="7" s="1"/>
  <c r="M34" i="6"/>
  <c r="M27" i="6"/>
  <c r="M31" i="6"/>
  <c r="M35" i="6"/>
  <c r="M39" i="6"/>
  <c r="M43" i="6"/>
  <c r="M47" i="6"/>
  <c r="M51" i="6"/>
  <c r="L55" i="6"/>
  <c r="L60" i="6" s="1"/>
  <c r="L46" i="7" s="1"/>
  <c r="V55" i="6"/>
  <c r="AF55" i="6"/>
  <c r="AF60" i="6" s="1"/>
  <c r="AH55" i="6"/>
  <c r="AH60" i="6" s="1"/>
  <c r="AH45" i="7" s="1"/>
  <c r="M26" i="6"/>
  <c r="M46" i="6"/>
  <c r="M7" i="6"/>
  <c r="M17" i="6"/>
  <c r="M23" i="6"/>
  <c r="Q55" i="6"/>
  <c r="Q60" i="6" s="1"/>
  <c r="X55" i="6"/>
  <c r="X60" i="6" s="1"/>
  <c r="M50" i="6"/>
  <c r="M8" i="6"/>
  <c r="M18" i="6"/>
  <c r="M28" i="6"/>
  <c r="M32" i="6"/>
  <c r="M36" i="6"/>
  <c r="M40" i="6"/>
  <c r="M44" i="6"/>
  <c r="M48" i="6"/>
  <c r="Z55" i="6"/>
  <c r="M42" i="6"/>
  <c r="M11" i="6"/>
  <c r="M19" i="6"/>
  <c r="M24" i="6"/>
  <c r="S55" i="6"/>
  <c r="S60" i="6" s="1"/>
  <c r="S34" i="7" s="1"/>
  <c r="U55" i="6"/>
  <c r="U60" i="6" s="1"/>
  <c r="AC55" i="6"/>
  <c r="AC60" i="6" s="1"/>
  <c r="AC46" i="7" s="1"/>
  <c r="AE55" i="6"/>
  <c r="AE60" i="6" s="1"/>
  <c r="M12" i="6"/>
  <c r="M20" i="6"/>
  <c r="M29" i="6"/>
  <c r="M33" i="6"/>
  <c r="M37" i="6"/>
  <c r="M41" i="6"/>
  <c r="M45" i="6"/>
  <c r="M49" i="6"/>
  <c r="P55" i="6"/>
  <c r="P60" i="6" s="1"/>
  <c r="P35" i="7" s="1"/>
  <c r="W55" i="6"/>
  <c r="W60" i="6" s="1"/>
  <c r="M30" i="6"/>
  <c r="M21" i="6"/>
  <c r="AA55" i="6"/>
  <c r="D37" i="5"/>
  <c r="R48" i="10" l="1"/>
  <c r="R28" i="11" s="1"/>
  <c r="AB43" i="10"/>
  <c r="AI6" i="23"/>
  <c r="F4" i="5"/>
  <c r="E4" i="5"/>
  <c r="E30" i="5"/>
  <c r="F30" i="5"/>
  <c r="Z13" i="9"/>
  <c r="Z36" i="9"/>
  <c r="Z9" i="9"/>
  <c r="Z32" i="9"/>
  <c r="Z21" i="9"/>
  <c r="Z39" i="9"/>
  <c r="AH58" i="8"/>
  <c r="Z25" i="9"/>
  <c r="Z47" i="9"/>
  <c r="Z11" i="9"/>
  <c r="Z19" i="9"/>
  <c r="Z15" i="9"/>
  <c r="Z23" i="9"/>
  <c r="Z42" i="9"/>
  <c r="Z27" i="9"/>
  <c r="Z5" i="9"/>
  <c r="Z49" i="9"/>
  <c r="AI32" i="7"/>
  <c r="AI32" i="9" s="1"/>
  <c r="AI23" i="7"/>
  <c r="AI23" i="9" s="1"/>
  <c r="M48" i="10"/>
  <c r="M29" i="11" s="1"/>
  <c r="R22" i="7"/>
  <c r="R22" i="9" s="1"/>
  <c r="Z29" i="9"/>
  <c r="Z43" i="9"/>
  <c r="R19" i="9"/>
  <c r="AI47" i="7"/>
  <c r="AI47" i="9" s="1"/>
  <c r="R20" i="7"/>
  <c r="R20" i="9" s="1"/>
  <c r="AI27" i="7"/>
  <c r="AI27" i="9" s="1"/>
  <c r="AA7" i="9"/>
  <c r="AA24" i="9"/>
  <c r="Z22" i="9"/>
  <c r="AA33" i="9"/>
  <c r="AA11" i="9"/>
  <c r="AA23" i="9"/>
  <c r="AA37" i="9"/>
  <c r="AA28" i="9"/>
  <c r="AA49" i="9"/>
  <c r="Z10" i="9"/>
  <c r="Z26" i="9"/>
  <c r="Z24" i="9"/>
  <c r="Z33" i="9"/>
  <c r="Z44" i="9"/>
  <c r="N48" i="10"/>
  <c r="N11" i="11" s="1"/>
  <c r="AI35" i="7"/>
  <c r="AI35" i="9" s="1"/>
  <c r="AI26" i="7"/>
  <c r="AI26" i="9" s="1"/>
  <c r="R31" i="7"/>
  <c r="R31" i="9" s="1"/>
  <c r="AI31" i="7"/>
  <c r="AI31" i="9" s="1"/>
  <c r="R10" i="7"/>
  <c r="R10" i="9" s="1"/>
  <c r="R45" i="7"/>
  <c r="R45" i="9" s="1"/>
  <c r="AI30" i="7"/>
  <c r="AI30" i="9" s="1"/>
  <c r="AI14" i="7"/>
  <c r="AI14" i="9" s="1"/>
  <c r="AA5" i="9"/>
  <c r="AA16" i="9"/>
  <c r="AA34" i="9"/>
  <c r="AA45" i="9"/>
  <c r="Z6" i="9"/>
  <c r="Z20" i="9"/>
  <c r="Z46" i="9"/>
  <c r="Z40" i="9"/>
  <c r="Z51" i="9"/>
  <c r="AI51" i="7"/>
  <c r="AI51" i="9" s="1"/>
  <c r="AI34" i="7"/>
  <c r="AI34" i="9" s="1"/>
  <c r="AI49" i="7"/>
  <c r="AI49" i="9" s="1"/>
  <c r="AI39" i="7"/>
  <c r="AI39" i="9" s="1"/>
  <c r="R6" i="7"/>
  <c r="R6" i="9" s="1"/>
  <c r="AI22" i="7"/>
  <c r="AI22" i="9" s="1"/>
  <c r="AI38" i="7"/>
  <c r="AI38" i="9" s="1"/>
  <c r="AI7" i="7"/>
  <c r="AI7" i="9" s="1"/>
  <c r="AA9" i="9"/>
  <c r="AA15" i="9"/>
  <c r="AA39" i="9"/>
  <c r="AA21" i="9"/>
  <c r="AA38" i="9"/>
  <c r="AA44" i="9"/>
  <c r="Z8" i="9"/>
  <c r="Z14" i="9"/>
  <c r="Z30" i="9"/>
  <c r="Z28" i="9"/>
  <c r="Z37" i="9"/>
  <c r="Z48" i="9"/>
  <c r="AI45" i="7"/>
  <c r="AI45" i="9" s="1"/>
  <c r="R49" i="7"/>
  <c r="R49" i="9" s="1"/>
  <c r="R48" i="7"/>
  <c r="R48" i="9" s="1"/>
  <c r="R13" i="7"/>
  <c r="R13" i="9" s="1"/>
  <c r="AI28" i="7"/>
  <c r="AI28" i="9" s="1"/>
  <c r="AI19" i="7"/>
  <c r="AI19" i="9" s="1"/>
  <c r="R8" i="7"/>
  <c r="R8" i="9" s="1"/>
  <c r="AI9" i="9"/>
  <c r="AI24" i="7"/>
  <c r="AI24" i="9" s="1"/>
  <c r="R29" i="7"/>
  <c r="R29" i="9" s="1"/>
  <c r="AI46" i="7"/>
  <c r="AI46" i="9" s="1"/>
  <c r="AA13" i="9"/>
  <c r="AA17" i="9"/>
  <c r="AA31" i="9"/>
  <c r="AA25" i="9"/>
  <c r="AA40" i="9"/>
  <c r="AA48" i="9"/>
  <c r="Z12" i="9"/>
  <c r="Z18" i="9"/>
  <c r="Z34" i="9"/>
  <c r="Z38" i="9"/>
  <c r="Z41" i="9"/>
  <c r="Z31" i="9"/>
  <c r="AI37" i="7"/>
  <c r="AI37" i="9" s="1"/>
  <c r="AI44" i="7"/>
  <c r="AI44" i="9" s="1"/>
  <c r="R41" i="7"/>
  <c r="R41" i="9" s="1"/>
  <c r="AI48" i="7"/>
  <c r="AI48" i="9" s="1"/>
  <c r="AI17" i="7"/>
  <c r="AI17" i="9" s="1"/>
  <c r="R14" i="7"/>
  <c r="R14" i="9" s="1"/>
  <c r="R34" i="7"/>
  <c r="R34" i="9" s="1"/>
  <c r="AI5" i="7"/>
  <c r="AI5" i="9" s="1"/>
  <c r="R43" i="7"/>
  <c r="R43" i="9" s="1"/>
  <c r="AI42" i="7"/>
  <c r="AI42" i="9" s="1"/>
  <c r="AA36" i="9"/>
  <c r="AA6" i="9"/>
  <c r="AA18" i="9"/>
  <c r="AA29" i="9"/>
  <c r="AA42" i="9"/>
  <c r="Z7" i="9"/>
  <c r="Z16" i="9"/>
  <c r="Z17" i="9"/>
  <c r="Z50" i="9"/>
  <c r="Z45" i="9"/>
  <c r="Z47" i="12"/>
  <c r="AI29" i="7"/>
  <c r="AI29" i="9" s="1"/>
  <c r="R50" i="7"/>
  <c r="R50" i="9" s="1"/>
  <c r="AI40" i="7"/>
  <c r="AI40" i="9" s="1"/>
  <c r="R5" i="7"/>
  <c r="R5" i="9" s="1"/>
  <c r="R18" i="7"/>
  <c r="R18" i="9" s="1"/>
  <c r="AI13" i="7"/>
  <c r="AI13" i="9" s="1"/>
  <c r="AI12" i="7"/>
  <c r="AI12" i="9" s="1"/>
  <c r="AO9" i="22"/>
  <c r="AT9" i="22"/>
  <c r="AJ9" i="22"/>
  <c r="R42" i="7"/>
  <c r="R42" i="9" s="1"/>
  <c r="R33" i="7"/>
  <c r="R33" i="9" s="1"/>
  <c r="R40" i="7"/>
  <c r="R40" i="9" s="1"/>
  <c r="AI41" i="7"/>
  <c r="AI41" i="9" s="1"/>
  <c r="R46" i="7"/>
  <c r="R46" i="9" s="1"/>
  <c r="R37" i="7"/>
  <c r="R37" i="9" s="1"/>
  <c r="R9" i="7"/>
  <c r="R9" i="9" s="1"/>
  <c r="R17" i="7"/>
  <c r="R17" i="9" s="1"/>
  <c r="R11" i="7"/>
  <c r="R11" i="9" s="1"/>
  <c r="R44" i="7"/>
  <c r="R44" i="9" s="1"/>
  <c r="AI18" i="7"/>
  <c r="AI18" i="9" s="1"/>
  <c r="AI16" i="7"/>
  <c r="AI16" i="9" s="1"/>
  <c r="R35" i="7"/>
  <c r="R35" i="9" s="1"/>
  <c r="R32" i="7"/>
  <c r="R32" i="9" s="1"/>
  <c r="AI33" i="7"/>
  <c r="AI33" i="9" s="1"/>
  <c r="R38" i="7"/>
  <c r="R38" i="9" s="1"/>
  <c r="R15" i="7"/>
  <c r="R15" i="9" s="1"/>
  <c r="R26" i="7"/>
  <c r="R26" i="9" s="1"/>
  <c r="R21" i="7"/>
  <c r="R21" i="9" s="1"/>
  <c r="R23" i="7"/>
  <c r="R23" i="9" s="1"/>
  <c r="R36" i="7"/>
  <c r="R36" i="9" s="1"/>
  <c r="R30" i="7"/>
  <c r="R30" i="9" s="1"/>
  <c r="AI8" i="7"/>
  <c r="AI8" i="9" s="1"/>
  <c r="AI20" i="7"/>
  <c r="AI20" i="9" s="1"/>
  <c r="S38" i="7"/>
  <c r="R47" i="7"/>
  <c r="R47" i="9" s="1"/>
  <c r="AI50" i="7"/>
  <c r="AI50" i="9" s="1"/>
  <c r="R12" i="7"/>
  <c r="R12" i="9" s="1"/>
  <c r="R7" i="7"/>
  <c r="R27" i="7"/>
  <c r="R27" i="9" s="1"/>
  <c r="AI21" i="7"/>
  <c r="AI21" i="9" s="1"/>
  <c r="AI11" i="7"/>
  <c r="AI11" i="9" s="1"/>
  <c r="AI6" i="7"/>
  <c r="T48" i="10"/>
  <c r="R39" i="7"/>
  <c r="R39" i="9" s="1"/>
  <c r="R25" i="7"/>
  <c r="R25" i="9" s="1"/>
  <c r="R16" i="7"/>
  <c r="R16" i="9" s="1"/>
  <c r="R24" i="7"/>
  <c r="R24" i="9" s="1"/>
  <c r="R28" i="7"/>
  <c r="R28" i="9" s="1"/>
  <c r="AI36" i="7"/>
  <c r="AI36" i="9" s="1"/>
  <c r="AI43" i="7"/>
  <c r="AI43" i="9" s="1"/>
  <c r="AI15" i="7"/>
  <c r="AI15" i="9" s="1"/>
  <c r="AI25" i="7"/>
  <c r="AI25" i="9" s="1"/>
  <c r="AC24" i="7"/>
  <c r="AC24" i="9" s="1"/>
  <c r="AD24" i="9" s="1"/>
  <c r="AI10" i="7"/>
  <c r="AI10" i="9" s="1"/>
  <c r="AD46" i="7"/>
  <c r="AC46" i="9"/>
  <c r="AD46" i="9" s="1"/>
  <c r="L46" i="9"/>
  <c r="O33" i="9"/>
  <c r="P35" i="9"/>
  <c r="S28" i="11"/>
  <c r="E37" i="5"/>
  <c r="R45" i="12"/>
  <c r="R45" i="13"/>
  <c r="R45" i="11"/>
  <c r="R45" i="10"/>
  <c r="AH25" i="7"/>
  <c r="AH17" i="7"/>
  <c r="AH13" i="7"/>
  <c r="AH6" i="7"/>
  <c r="AH20" i="7"/>
  <c r="AH16" i="7"/>
  <c r="AH12" i="7"/>
  <c r="AH9" i="7"/>
  <c r="AH5" i="7"/>
  <c r="AH19" i="7"/>
  <c r="AH15" i="7"/>
  <c r="AH11" i="7"/>
  <c r="AH8" i="7"/>
  <c r="AH18" i="7"/>
  <c r="AH14" i="7"/>
  <c r="AH7" i="7"/>
  <c r="AH47" i="7"/>
  <c r="AH10" i="7"/>
  <c r="AH38" i="7"/>
  <c r="AH31" i="7"/>
  <c r="AH32" i="7"/>
  <c r="AH26" i="7"/>
  <c r="AH27" i="7"/>
  <c r="AH28" i="7"/>
  <c r="AH46" i="7"/>
  <c r="AH39" i="7"/>
  <c r="AH48" i="7"/>
  <c r="AH24" i="7"/>
  <c r="AH34" i="7"/>
  <c r="AH36" i="7"/>
  <c r="AH23" i="7"/>
  <c r="AH33" i="7"/>
  <c r="AH42" i="7"/>
  <c r="AH44" i="7"/>
  <c r="AH21" i="7"/>
  <c r="AH40" i="7"/>
  <c r="AH41" i="7"/>
  <c r="AH50" i="7"/>
  <c r="AH22" i="7"/>
  <c r="AH49" i="7"/>
  <c r="AH29" i="7"/>
  <c r="AH35" i="7"/>
  <c r="AH37" i="7"/>
  <c r="AH43" i="7"/>
  <c r="R41" i="11"/>
  <c r="AH51" i="7"/>
  <c r="AC25" i="7"/>
  <c r="AC18" i="7"/>
  <c r="AC14" i="7"/>
  <c r="AC10" i="7"/>
  <c r="AC7" i="7"/>
  <c r="AC17" i="7"/>
  <c r="AC13" i="7"/>
  <c r="AC6" i="7"/>
  <c r="AC20" i="7"/>
  <c r="AC16" i="7"/>
  <c r="AC12" i="7"/>
  <c r="AC9" i="7"/>
  <c r="AC19" i="7"/>
  <c r="AC15" i="7"/>
  <c r="AC5" i="7"/>
  <c r="AC8" i="7"/>
  <c r="AC11" i="7"/>
  <c r="AC28" i="7"/>
  <c r="AC23" i="7"/>
  <c r="AC41" i="7"/>
  <c r="AC50" i="7"/>
  <c r="AC47" i="7"/>
  <c r="AC48" i="7"/>
  <c r="AC21" i="7"/>
  <c r="AC27" i="7"/>
  <c r="AC35" i="7"/>
  <c r="AC22" i="7"/>
  <c r="AC43" i="7"/>
  <c r="AC33" i="7"/>
  <c r="AC51" i="7"/>
  <c r="AC49" i="7"/>
  <c r="AC26" i="7"/>
  <c r="AC36" i="7"/>
  <c r="AC29" i="7"/>
  <c r="AC30" i="7"/>
  <c r="AC34" i="7"/>
  <c r="AC44" i="7"/>
  <c r="AC37" i="7"/>
  <c r="AC38" i="7"/>
  <c r="AC31" i="7"/>
  <c r="AC32" i="7"/>
  <c r="S44" i="12"/>
  <c r="S44" i="13"/>
  <c r="S44" i="11"/>
  <c r="S44" i="10"/>
  <c r="U47" i="7"/>
  <c r="U40" i="7"/>
  <c r="U50" i="7"/>
  <c r="U43" i="7"/>
  <c r="U36" i="7"/>
  <c r="U32" i="7"/>
  <c r="U28" i="7"/>
  <c r="U46" i="7"/>
  <c r="U39" i="7"/>
  <c r="U42" i="7"/>
  <c r="U35" i="7"/>
  <c r="U31" i="7"/>
  <c r="U27" i="7"/>
  <c r="U49" i="7"/>
  <c r="U38" i="7"/>
  <c r="U45" i="7"/>
  <c r="U34" i="7"/>
  <c r="U30" i="7"/>
  <c r="U26" i="7"/>
  <c r="U48" i="7"/>
  <c r="U41" i="7"/>
  <c r="U33" i="7"/>
  <c r="U24" i="7"/>
  <c r="U7" i="7"/>
  <c r="U44" i="7"/>
  <c r="U21" i="7"/>
  <c r="U17" i="7"/>
  <c r="U13" i="7"/>
  <c r="U10" i="7"/>
  <c r="U6" i="7"/>
  <c r="U29" i="7"/>
  <c r="U20" i="7"/>
  <c r="U16" i="7"/>
  <c r="U12" i="7"/>
  <c r="U9" i="7"/>
  <c r="U37" i="7"/>
  <c r="U19" i="7"/>
  <c r="U15" i="7"/>
  <c r="U5" i="7"/>
  <c r="U25" i="7"/>
  <c r="U23" i="7"/>
  <c r="U11" i="7"/>
  <c r="U8" i="7"/>
  <c r="U18" i="7"/>
  <c r="U51" i="7"/>
  <c r="U14" i="7"/>
  <c r="U22" i="7"/>
  <c r="X42" i="7"/>
  <c r="X35" i="7"/>
  <c r="X31" i="7"/>
  <c r="X27" i="7"/>
  <c r="X23" i="7"/>
  <c r="X49" i="7"/>
  <c r="X38" i="7"/>
  <c r="X45" i="7"/>
  <c r="X34" i="7"/>
  <c r="X30" i="7"/>
  <c r="X48" i="7"/>
  <c r="X41" i="7"/>
  <c r="X51" i="7"/>
  <c r="X44" i="7"/>
  <c r="X37" i="7"/>
  <c r="X33" i="7"/>
  <c r="X29" i="7"/>
  <c r="X25" i="7"/>
  <c r="X47" i="7"/>
  <c r="X40" i="7"/>
  <c r="X50" i="7"/>
  <c r="X43" i="7"/>
  <c r="X36" i="7"/>
  <c r="X32" i="7"/>
  <c r="X28" i="7"/>
  <c r="X24" i="7"/>
  <c r="X46" i="7"/>
  <c r="X20" i="7"/>
  <c r="X16" i="7"/>
  <c r="X12" i="7"/>
  <c r="X9" i="7"/>
  <c r="X19" i="7"/>
  <c r="X15" i="7"/>
  <c r="X5" i="7"/>
  <c r="X39" i="7"/>
  <c r="X11" i="7"/>
  <c r="X8" i="7"/>
  <c r="X26" i="7"/>
  <c r="X22" i="7"/>
  <c r="X18" i="7"/>
  <c r="X14" i="7"/>
  <c r="X7" i="7"/>
  <c r="X21" i="7"/>
  <c r="X17" i="7"/>
  <c r="X13" i="7"/>
  <c r="X10" i="7"/>
  <c r="X6" i="7"/>
  <c r="M29" i="12"/>
  <c r="M29" i="13"/>
  <c r="R22" i="11"/>
  <c r="S37" i="7"/>
  <c r="P37" i="7"/>
  <c r="S25" i="7"/>
  <c r="S18" i="7"/>
  <c r="S14" i="7"/>
  <c r="S7" i="7"/>
  <c r="S17" i="7"/>
  <c r="S13" i="7"/>
  <c r="S10" i="7"/>
  <c r="S6" i="7"/>
  <c r="S20" i="7"/>
  <c r="S16" i="7"/>
  <c r="S12" i="7"/>
  <c r="S9" i="7"/>
  <c r="S19" i="7"/>
  <c r="S15" i="7"/>
  <c r="S5" i="7"/>
  <c r="S23" i="7"/>
  <c r="S8" i="7"/>
  <c r="S11" i="7"/>
  <c r="S46" i="7"/>
  <c r="S48" i="7"/>
  <c r="S42" i="7"/>
  <c r="S35" i="7"/>
  <c r="S45" i="7"/>
  <c r="S22" i="7"/>
  <c r="S24" i="7"/>
  <c r="S32" i="7"/>
  <c r="S33" i="7"/>
  <c r="S50" i="7"/>
  <c r="S43" i="7"/>
  <c r="S36" i="7"/>
  <c r="S41" i="7"/>
  <c r="S31" i="7"/>
  <c r="S40" i="7"/>
  <c r="S49" i="7"/>
  <c r="S51" i="7"/>
  <c r="S44" i="7"/>
  <c r="S39" i="7"/>
  <c r="S47" i="7"/>
  <c r="S21" i="7"/>
  <c r="S28" i="7"/>
  <c r="S30" i="7"/>
  <c r="S26" i="7"/>
  <c r="S29" i="7"/>
  <c r="Q26" i="7"/>
  <c r="Q28" i="7"/>
  <c r="Q24" i="7"/>
  <c r="Q27" i="7"/>
  <c r="Q23" i="7"/>
  <c r="Q15" i="7"/>
  <c r="Q5" i="7"/>
  <c r="Q8" i="7"/>
  <c r="Q22" i="7"/>
  <c r="Q22" i="9" s="1"/>
  <c r="Q14" i="7"/>
  <c r="Q29" i="7"/>
  <c r="Q21" i="7"/>
  <c r="Q13" i="7"/>
  <c r="Q10" i="7"/>
  <c r="Q6" i="7"/>
  <c r="Q16" i="7"/>
  <c r="Q9" i="7"/>
  <c r="Q34" i="7"/>
  <c r="Q25" i="7"/>
  <c r="Q20" i="7"/>
  <c r="Q38" i="7"/>
  <c r="Q51" i="7"/>
  <c r="Q42" i="7"/>
  <c r="Q30" i="7"/>
  <c r="Q31" i="7"/>
  <c r="Q33" i="7"/>
  <c r="Q11" i="7"/>
  <c r="Q50" i="7"/>
  <c r="Q46" i="7"/>
  <c r="Q39" i="7"/>
  <c r="Q41" i="7"/>
  <c r="Q17" i="7"/>
  <c r="Q47" i="7"/>
  <c r="Q12" i="7"/>
  <c r="Q49" i="7"/>
  <c r="Q37" i="7"/>
  <c r="Q32" i="7"/>
  <c r="Q36" i="7"/>
  <c r="Q45" i="7"/>
  <c r="Q40" i="7"/>
  <c r="Q35" i="7"/>
  <c r="Q44" i="7"/>
  <c r="Q48" i="7"/>
  <c r="Q43" i="7"/>
  <c r="Q18" i="7"/>
  <c r="L28" i="7"/>
  <c r="L24" i="7"/>
  <c r="L26" i="7"/>
  <c r="L29" i="7"/>
  <c r="L21" i="7"/>
  <c r="L13" i="7"/>
  <c r="L10" i="7"/>
  <c r="L6" i="7"/>
  <c r="L16" i="7"/>
  <c r="L9" i="7"/>
  <c r="L23" i="7"/>
  <c r="L15" i="7"/>
  <c r="L5" i="7"/>
  <c r="L8" i="7"/>
  <c r="L22" i="7"/>
  <c r="L14" i="7"/>
  <c r="L7" i="7"/>
  <c r="L27" i="7"/>
  <c r="L40" i="7"/>
  <c r="L45" i="7"/>
  <c r="L33" i="7"/>
  <c r="L17" i="7"/>
  <c r="L19" i="7"/>
  <c r="L41" i="7"/>
  <c r="L35" i="7"/>
  <c r="L32" i="7"/>
  <c r="L49" i="7"/>
  <c r="L43" i="7"/>
  <c r="L18" i="7"/>
  <c r="L48" i="7"/>
  <c r="L34" i="7"/>
  <c r="L51" i="7"/>
  <c r="L11" i="7"/>
  <c r="L42" i="7"/>
  <c r="L47" i="7"/>
  <c r="L12" i="7"/>
  <c r="L30" i="7"/>
  <c r="L31" i="7"/>
  <c r="L50" i="7"/>
  <c r="L20" i="7"/>
  <c r="L36" i="7"/>
  <c r="L25" i="7"/>
  <c r="L38" i="7"/>
  <c r="L39" i="7"/>
  <c r="Z47" i="8"/>
  <c r="Z41" i="8"/>
  <c r="Z33" i="8"/>
  <c r="Z46" i="8"/>
  <c r="Z39" i="8"/>
  <c r="Z51" i="8"/>
  <c r="Z45" i="8"/>
  <c r="Z44" i="8"/>
  <c r="Z37" i="8"/>
  <c r="Z49" i="8"/>
  <c r="Z30" i="8"/>
  <c r="Z22" i="8"/>
  <c r="Z14" i="8"/>
  <c r="Z9" i="8"/>
  <c r="Z35" i="8"/>
  <c r="Z29" i="8"/>
  <c r="Z21" i="8"/>
  <c r="Z13" i="8"/>
  <c r="Z8" i="8"/>
  <c r="Z28" i="8"/>
  <c r="Z20" i="8"/>
  <c r="Z48" i="8"/>
  <c r="Z43" i="8"/>
  <c r="Z42" i="8"/>
  <c r="Z27" i="8"/>
  <c r="Z19" i="8"/>
  <c r="Z12" i="8"/>
  <c r="Z7" i="8"/>
  <c r="Z40" i="8"/>
  <c r="Z36" i="8"/>
  <c r="Z26" i="8"/>
  <c r="Z18" i="8"/>
  <c r="Z11" i="8"/>
  <c r="Z6" i="8"/>
  <c r="Z38" i="8"/>
  <c r="Z25" i="8"/>
  <c r="Z17" i="8"/>
  <c r="Z16" i="8"/>
  <c r="Z5" i="8"/>
  <c r="Z31" i="8"/>
  <c r="Z50" i="8"/>
  <c r="Z23" i="8"/>
  <c r="Z10" i="8"/>
  <c r="Z32" i="8"/>
  <c r="Z15" i="8"/>
  <c r="Z24" i="8"/>
  <c r="Z34" i="8"/>
  <c r="AC40" i="7"/>
  <c r="L37" i="7"/>
  <c r="P42" i="7"/>
  <c r="AB54" i="8"/>
  <c r="AB54" i="9"/>
  <c r="AB54" i="7"/>
  <c r="L44" i="7"/>
  <c r="O25" i="7"/>
  <c r="O20" i="7"/>
  <c r="O16" i="7"/>
  <c r="O12" i="7"/>
  <c r="O9" i="7"/>
  <c r="O19" i="7"/>
  <c r="O15" i="7"/>
  <c r="O5" i="7"/>
  <c r="O11" i="7"/>
  <c r="O8" i="7"/>
  <c r="O18" i="7"/>
  <c r="O14" i="7"/>
  <c r="O7" i="7"/>
  <c r="O17" i="7"/>
  <c r="O13" i="7"/>
  <c r="O10" i="7"/>
  <c r="O6" i="7"/>
  <c r="O21" i="7"/>
  <c r="O32" i="7"/>
  <c r="O41" i="7"/>
  <c r="O44" i="7"/>
  <c r="O30" i="7"/>
  <c r="O31" i="7"/>
  <c r="O40" i="7"/>
  <c r="O49" i="7"/>
  <c r="O38" i="7"/>
  <c r="O47" i="7"/>
  <c r="O48" i="7"/>
  <c r="O46" i="7"/>
  <c r="O27" i="7"/>
  <c r="O34" i="7"/>
  <c r="O35" i="7"/>
  <c r="O29" i="7"/>
  <c r="O22" i="7"/>
  <c r="O42" i="7"/>
  <c r="O43" i="7"/>
  <c r="O37" i="7"/>
  <c r="O39" i="7"/>
  <c r="O24" i="7"/>
  <c r="O23" i="7"/>
  <c r="O26" i="7"/>
  <c r="O50" i="7"/>
  <c r="O51" i="7"/>
  <c r="O28" i="7"/>
  <c r="O45" i="7"/>
  <c r="AH45" i="9"/>
  <c r="AC39" i="7"/>
  <c r="T17" i="11"/>
  <c r="P39" i="7"/>
  <c r="S27" i="7"/>
  <c r="P36" i="7"/>
  <c r="Q19" i="7"/>
  <c r="W46" i="7"/>
  <c r="W39" i="7"/>
  <c r="W42" i="7"/>
  <c r="W35" i="7"/>
  <c r="W31" i="7"/>
  <c r="W49" i="7"/>
  <c r="W38" i="7"/>
  <c r="W45" i="7"/>
  <c r="W34" i="7"/>
  <c r="W30" i="7"/>
  <c r="W48" i="7"/>
  <c r="W41" i="7"/>
  <c r="W51" i="7"/>
  <c r="W44" i="7"/>
  <c r="W37" i="7"/>
  <c r="W33" i="7"/>
  <c r="W29" i="7"/>
  <c r="W25" i="7"/>
  <c r="W47" i="7"/>
  <c r="W40" i="7"/>
  <c r="W6" i="7"/>
  <c r="W20" i="7"/>
  <c r="W16" i="7"/>
  <c r="W12" i="7"/>
  <c r="W36" i="7"/>
  <c r="W28" i="7"/>
  <c r="W9" i="7"/>
  <c r="W27" i="7"/>
  <c r="W19" i="7"/>
  <c r="W15" i="7"/>
  <c r="W5" i="7"/>
  <c r="W50" i="7"/>
  <c r="W23" i="7"/>
  <c r="W11" i="7"/>
  <c r="W8" i="7"/>
  <c r="W32" i="7"/>
  <c r="W26" i="7"/>
  <c r="W22" i="7"/>
  <c r="W18" i="7"/>
  <c r="W14" i="7"/>
  <c r="W43" i="7"/>
  <c r="W7" i="7"/>
  <c r="W13" i="7"/>
  <c r="W10" i="7"/>
  <c r="W21" i="7"/>
  <c r="W24" i="7"/>
  <c r="W17" i="7"/>
  <c r="F37" i="5"/>
  <c r="R46" i="12"/>
  <c r="R48" i="12" s="1"/>
  <c r="R47" i="12" s="1"/>
  <c r="R46" i="13"/>
  <c r="R46" i="11"/>
  <c r="R46" i="10"/>
  <c r="P29" i="7"/>
  <c r="P28" i="7"/>
  <c r="P24" i="7"/>
  <c r="P9" i="7"/>
  <c r="P25" i="7"/>
  <c r="P23" i="7"/>
  <c r="P19" i="7"/>
  <c r="P15" i="7"/>
  <c r="P5" i="7"/>
  <c r="P11" i="7"/>
  <c r="P8" i="7"/>
  <c r="P22" i="7"/>
  <c r="P18" i="7"/>
  <c r="P14" i="7"/>
  <c r="P7" i="7"/>
  <c r="P27" i="7"/>
  <c r="P21" i="7"/>
  <c r="P17" i="7"/>
  <c r="P13" i="7"/>
  <c r="P10" i="7"/>
  <c r="P6" i="7"/>
  <c r="P20" i="7"/>
  <c r="P16" i="7"/>
  <c r="P26" i="7"/>
  <c r="P12" i="7"/>
  <c r="P44" i="7"/>
  <c r="P45" i="7"/>
  <c r="P47" i="7"/>
  <c r="P30" i="7"/>
  <c r="P31" i="7"/>
  <c r="P43" i="7"/>
  <c r="P38" i="7"/>
  <c r="P33" i="7"/>
  <c r="P34" i="7"/>
  <c r="P51" i="7"/>
  <c r="P46" i="7"/>
  <c r="P32" i="7"/>
  <c r="P41" i="7"/>
  <c r="P50" i="7"/>
  <c r="P40" i="7"/>
  <c r="P49" i="7"/>
  <c r="P48" i="7"/>
  <c r="AA40" i="8"/>
  <c r="AA32" i="8"/>
  <c r="AA51" i="8"/>
  <c r="AA45" i="8"/>
  <c r="AA38" i="8"/>
  <c r="AA44" i="8"/>
  <c r="AA50" i="8"/>
  <c r="AA43" i="8"/>
  <c r="AA36" i="8"/>
  <c r="AA48" i="8"/>
  <c r="AA42" i="8"/>
  <c r="AA46" i="8"/>
  <c r="AA35" i="8"/>
  <c r="AA29" i="8"/>
  <c r="AA21" i="8"/>
  <c r="AA13" i="8"/>
  <c r="AA8" i="8"/>
  <c r="AA47" i="8"/>
  <c r="AA28" i="8"/>
  <c r="AA20" i="8"/>
  <c r="AA33" i="8"/>
  <c r="AA27" i="8"/>
  <c r="AA19" i="8"/>
  <c r="AA12" i="8"/>
  <c r="AA41" i="8"/>
  <c r="AA26" i="8"/>
  <c r="AA18" i="8"/>
  <c r="AA11" i="8"/>
  <c r="AA6" i="8"/>
  <c r="AA49" i="8"/>
  <c r="AA39" i="8"/>
  <c r="AA25" i="8"/>
  <c r="AA17" i="8"/>
  <c r="AA34" i="8"/>
  <c r="AA24" i="8"/>
  <c r="AA16" i="8"/>
  <c r="AA10" i="8"/>
  <c r="AA5" i="8"/>
  <c r="AA22" i="8"/>
  <c r="AA31" i="8"/>
  <c r="AA14" i="8"/>
  <c r="AA23" i="8"/>
  <c r="AA7" i="8"/>
  <c r="AA9" i="8"/>
  <c r="AA15" i="8"/>
  <c r="AA37" i="8"/>
  <c r="AA30" i="8"/>
  <c r="T9" i="11"/>
  <c r="T6" i="11"/>
  <c r="T15" i="11"/>
  <c r="T7" i="11"/>
  <c r="T10" i="11"/>
  <c r="T8" i="11"/>
  <c r="T5" i="11"/>
  <c r="T30" i="11"/>
  <c r="T22" i="11"/>
  <c r="T31" i="11"/>
  <c r="T25" i="11"/>
  <c r="T26" i="11"/>
  <c r="T13" i="11"/>
  <c r="T39" i="11"/>
  <c r="T34" i="11"/>
  <c r="T16" i="11"/>
  <c r="T11" i="11"/>
  <c r="T12" i="11"/>
  <c r="T33" i="11"/>
  <c r="T38" i="11"/>
  <c r="T24" i="11"/>
  <c r="T20" i="11"/>
  <c r="T21" i="11"/>
  <c r="T41" i="11"/>
  <c r="T32" i="11"/>
  <c r="T28" i="11"/>
  <c r="T29" i="11"/>
  <c r="T19" i="11"/>
  <c r="T36" i="11"/>
  <c r="T37" i="11"/>
  <c r="T40" i="11"/>
  <c r="T14" i="11"/>
  <c r="T27" i="11"/>
  <c r="R5" i="11"/>
  <c r="R9" i="11"/>
  <c r="R6" i="11"/>
  <c r="R15" i="11"/>
  <c r="R7" i="11"/>
  <c r="R10" i="11"/>
  <c r="R24" i="11"/>
  <c r="R8" i="11"/>
  <c r="R36" i="11"/>
  <c r="R16" i="11"/>
  <c r="R30" i="11"/>
  <c r="R18" i="11"/>
  <c r="R19" i="11"/>
  <c r="R32" i="11"/>
  <c r="R38" i="11"/>
  <c r="R26" i="11"/>
  <c r="R27" i="11"/>
  <c r="R40" i="11"/>
  <c r="R12" i="11"/>
  <c r="R17" i="11"/>
  <c r="R35" i="11"/>
  <c r="R21" i="11"/>
  <c r="R14" i="11"/>
  <c r="R25" i="11"/>
  <c r="R29" i="11"/>
  <c r="R23" i="11"/>
  <c r="R33" i="11"/>
  <c r="R34" i="11"/>
  <c r="R37" i="11"/>
  <c r="R31" i="11"/>
  <c r="R11" i="11"/>
  <c r="R13" i="11"/>
  <c r="R39" i="11"/>
  <c r="R20" i="11"/>
  <c r="T35" i="11"/>
  <c r="O36" i="7"/>
  <c r="AC45" i="7"/>
  <c r="AH30" i="7"/>
  <c r="Q7" i="7"/>
  <c r="AC42" i="7"/>
  <c r="N15" i="11"/>
  <c r="N7" i="11"/>
  <c r="N10" i="11"/>
  <c r="N8" i="11"/>
  <c r="N5" i="11"/>
  <c r="N9" i="11"/>
  <c r="N6" i="11"/>
  <c r="N28" i="11"/>
  <c r="N12" i="11"/>
  <c r="N34" i="11"/>
  <c r="N20" i="11"/>
  <c r="N41" i="11"/>
  <c r="U47" i="12"/>
  <c r="V47" i="12"/>
  <c r="N47" i="12"/>
  <c r="M36" i="11"/>
  <c r="M41" i="11"/>
  <c r="P47" i="11"/>
  <c r="M28" i="11"/>
  <c r="M26" i="11"/>
  <c r="N26" i="11"/>
  <c r="N24" i="11"/>
  <c r="M37" i="11"/>
  <c r="R48" i="11"/>
  <c r="R47" i="11" s="1"/>
  <c r="T47" i="12"/>
  <c r="M33" i="11"/>
  <c r="M20" i="11"/>
  <c r="M18" i="11"/>
  <c r="N18" i="11"/>
  <c r="N33" i="11"/>
  <c r="N16" i="11"/>
  <c r="M15" i="11"/>
  <c r="M7" i="11"/>
  <c r="M10" i="11"/>
  <c r="M8" i="11"/>
  <c r="M5" i="11"/>
  <c r="M40" i="11"/>
  <c r="M6" i="11"/>
  <c r="M25" i="11"/>
  <c r="M9" i="11"/>
  <c r="M17" i="11"/>
  <c r="O47" i="12"/>
  <c r="M47" i="12"/>
  <c r="M11" i="11"/>
  <c r="M32" i="11"/>
  <c r="N25" i="11"/>
  <c r="M38" i="11"/>
  <c r="M21" i="11"/>
  <c r="N36" i="11"/>
  <c r="N29" i="11"/>
  <c r="M24" i="11"/>
  <c r="N17" i="11"/>
  <c r="M30" i="11"/>
  <c r="M12" i="11"/>
  <c r="Z47" i="11"/>
  <c r="M34" i="11"/>
  <c r="N21" i="11"/>
  <c r="M16" i="11"/>
  <c r="M39" i="11"/>
  <c r="M22" i="11"/>
  <c r="N39" i="11"/>
  <c r="AL56" i="9"/>
  <c r="AL56" i="8"/>
  <c r="AL58" i="6"/>
  <c r="AL56" i="7"/>
  <c r="N30" i="11"/>
  <c r="M27" i="11"/>
  <c r="N35" i="11"/>
  <c r="M31" i="11"/>
  <c r="M13" i="11"/>
  <c r="N31" i="11"/>
  <c r="AB56" i="9"/>
  <c r="AB56" i="8"/>
  <c r="AB56" i="7"/>
  <c r="AB58" i="6"/>
  <c r="W46" i="12"/>
  <c r="W46" i="13"/>
  <c r="W46" i="11"/>
  <c r="W46" i="10"/>
  <c r="N37" i="11"/>
  <c r="N22" i="11"/>
  <c r="M19" i="11"/>
  <c r="N27" i="11"/>
  <c r="M23" i="11"/>
  <c r="N40" i="11"/>
  <c r="N23" i="11"/>
  <c r="AL54" i="8"/>
  <c r="AL54" i="9"/>
  <c r="AL54" i="7"/>
  <c r="V48" i="10"/>
  <c r="Z48" i="10"/>
  <c r="U48" i="10"/>
  <c r="P48" i="10"/>
  <c r="O48" i="10"/>
  <c r="M64" i="6"/>
  <c r="M70" i="6" s="1"/>
  <c r="M55" i="6"/>
  <c r="M60" i="6" s="1"/>
  <c r="M45" i="7" s="1"/>
  <c r="Y56" i="6"/>
  <c r="V56" i="6"/>
  <c r="V60" i="6"/>
  <c r="D35" i="5"/>
  <c r="N56" i="6"/>
  <c r="M35" i="11" l="1"/>
  <c r="M14" i="11"/>
  <c r="M14" i="12" s="1"/>
  <c r="AA53" i="9"/>
  <c r="Z53" i="9"/>
  <c r="AD24" i="7"/>
  <c r="N11" i="12"/>
  <c r="N11" i="13"/>
  <c r="N19" i="11"/>
  <c r="N13" i="11"/>
  <c r="N32" i="11"/>
  <c r="N38" i="11"/>
  <c r="N14" i="11"/>
  <c r="T23" i="11"/>
  <c r="T18" i="11"/>
  <c r="AI6" i="9"/>
  <c r="AI53" i="9" s="1"/>
  <c r="AI53" i="7"/>
  <c r="AI58" i="7" s="1"/>
  <c r="R53" i="7"/>
  <c r="R7" i="9"/>
  <c r="R53" i="9" s="1"/>
  <c r="M14" i="13"/>
  <c r="M45" i="9"/>
  <c r="M37" i="12"/>
  <c r="M37" i="13"/>
  <c r="S38" i="11"/>
  <c r="R38" i="12"/>
  <c r="S38" i="12" s="1"/>
  <c r="R38" i="13"/>
  <c r="S38" i="13" s="1"/>
  <c r="P20" i="9"/>
  <c r="W28" i="9"/>
  <c r="O29" i="9"/>
  <c r="L49" i="9"/>
  <c r="Q32" i="9"/>
  <c r="U8" i="9"/>
  <c r="N40" i="12"/>
  <c r="N40" i="13"/>
  <c r="M13" i="12"/>
  <c r="M13" i="13"/>
  <c r="M22" i="12"/>
  <c r="M22" i="13"/>
  <c r="N25" i="12"/>
  <c r="N25" i="13"/>
  <c r="M6" i="12"/>
  <c r="M6" i="13"/>
  <c r="N18" i="12"/>
  <c r="N18" i="13"/>
  <c r="N24" i="12"/>
  <c r="N24" i="13"/>
  <c r="N9" i="12"/>
  <c r="N9" i="13"/>
  <c r="O36" i="9"/>
  <c r="R31" i="12"/>
  <c r="S31" i="12" s="1"/>
  <c r="S31" i="11"/>
  <c r="R31" i="13"/>
  <c r="S31" i="13" s="1"/>
  <c r="R21" i="12"/>
  <c r="S21" i="12" s="1"/>
  <c r="S21" i="11"/>
  <c r="R21" i="13"/>
  <c r="S21" i="13" s="1"/>
  <c r="R32" i="12"/>
  <c r="S32" i="12" s="1"/>
  <c r="S32" i="11"/>
  <c r="R32" i="13"/>
  <c r="S32" i="13" s="1"/>
  <c r="R10" i="12"/>
  <c r="S10" i="12" s="1"/>
  <c r="S10" i="11"/>
  <c r="R10" i="13"/>
  <c r="S10" i="13" s="1"/>
  <c r="T40" i="12"/>
  <c r="T40" i="13"/>
  <c r="T21" i="12"/>
  <c r="T21" i="13"/>
  <c r="T34" i="12"/>
  <c r="T34" i="13"/>
  <c r="T5" i="12"/>
  <c r="T5" i="13"/>
  <c r="T43" i="11"/>
  <c r="AA53" i="8"/>
  <c r="M18" i="7"/>
  <c r="P32" i="9"/>
  <c r="P30" i="9"/>
  <c r="P6" i="9"/>
  <c r="P18" i="9"/>
  <c r="P25" i="9"/>
  <c r="W43" i="9"/>
  <c r="W23" i="9"/>
  <c r="W36" i="9"/>
  <c r="W29" i="9"/>
  <c r="W34" i="9"/>
  <c r="W46" i="9"/>
  <c r="T17" i="12"/>
  <c r="T17" i="13"/>
  <c r="M7" i="7"/>
  <c r="O23" i="9"/>
  <c r="O35" i="9"/>
  <c r="O40" i="9"/>
  <c r="O10" i="9"/>
  <c r="O5" i="9"/>
  <c r="O53" i="7"/>
  <c r="O58" i="7" s="1"/>
  <c r="O33" i="8" s="1"/>
  <c r="M51" i="7"/>
  <c r="L25" i="9"/>
  <c r="L42" i="9"/>
  <c r="L32" i="9"/>
  <c r="L27" i="9"/>
  <c r="L9" i="9"/>
  <c r="L24" i="9"/>
  <c r="M27" i="7"/>
  <c r="Q37" i="9"/>
  <c r="Q50" i="9"/>
  <c r="Q20" i="9"/>
  <c r="Q21" i="9"/>
  <c r="Q27" i="9"/>
  <c r="M37" i="7"/>
  <c r="X7" i="9"/>
  <c r="X53" i="7"/>
  <c r="X58" i="7" s="1"/>
  <c r="X7" i="8" s="1"/>
  <c r="X5" i="9"/>
  <c r="X24" i="9"/>
  <c r="X25" i="9"/>
  <c r="X30" i="9"/>
  <c r="X35" i="9"/>
  <c r="U11" i="9"/>
  <c r="U12" i="9"/>
  <c r="U21" i="9"/>
  <c r="U30" i="9"/>
  <c r="U42" i="9"/>
  <c r="U40" i="9"/>
  <c r="AD31" i="7"/>
  <c r="AC31" i="9"/>
  <c r="AD31" i="9" s="1"/>
  <c r="AD26" i="7"/>
  <c r="AC26" i="9"/>
  <c r="AD26" i="9" s="1"/>
  <c r="AD21" i="7"/>
  <c r="AC21" i="9"/>
  <c r="AD21" i="9" s="1"/>
  <c r="AD8" i="7"/>
  <c r="AC8" i="9"/>
  <c r="AD8" i="9" s="1"/>
  <c r="AD6" i="7"/>
  <c r="AC6" i="9"/>
  <c r="AD6" i="9" s="1"/>
  <c r="L44" i="12"/>
  <c r="L48" i="12" s="1"/>
  <c r="L44" i="13"/>
  <c r="L44" i="11"/>
  <c r="L48" i="11" s="1"/>
  <c r="L44" i="10"/>
  <c r="AH51" i="9"/>
  <c r="AH29" i="9"/>
  <c r="AH42" i="9"/>
  <c r="AH46" i="9"/>
  <c r="AH47" i="9"/>
  <c r="AH5" i="9"/>
  <c r="AH53" i="7"/>
  <c r="AH58" i="7" s="1"/>
  <c r="AH45" i="8" s="1"/>
  <c r="AH25" i="9"/>
  <c r="R28" i="13"/>
  <c r="S28" i="13" s="1"/>
  <c r="N23" i="12"/>
  <c r="N23" i="13"/>
  <c r="R11" i="12"/>
  <c r="S11" i="12" s="1"/>
  <c r="S11" i="11"/>
  <c r="R11" i="13"/>
  <c r="S11" i="13" s="1"/>
  <c r="T41" i="12"/>
  <c r="T41" i="13"/>
  <c r="P41" i="9"/>
  <c r="W11" i="9"/>
  <c r="M47" i="7"/>
  <c r="O6" i="9"/>
  <c r="L47" i="9"/>
  <c r="X46" i="9"/>
  <c r="X31" i="9"/>
  <c r="U35" i="9"/>
  <c r="AD32" i="7"/>
  <c r="AC32" i="9"/>
  <c r="AD32" i="9" s="1"/>
  <c r="AD27" i="7"/>
  <c r="AC27" i="9"/>
  <c r="AD27" i="9" s="1"/>
  <c r="AD11" i="7"/>
  <c r="AC11" i="9"/>
  <c r="AD11" i="9" s="1"/>
  <c r="AD20" i="7"/>
  <c r="AC20" i="9"/>
  <c r="AD20" i="9" s="1"/>
  <c r="AD25" i="7"/>
  <c r="AC25" i="9"/>
  <c r="AD25" i="9" s="1"/>
  <c r="AH35" i="9"/>
  <c r="AH44" i="9"/>
  <c r="AH39" i="9"/>
  <c r="P8" i="11"/>
  <c r="P5" i="11"/>
  <c r="P9" i="11"/>
  <c r="P6" i="11"/>
  <c r="P15" i="11"/>
  <c r="P7" i="11"/>
  <c r="P18" i="11"/>
  <c r="P33" i="11"/>
  <c r="P26" i="11"/>
  <c r="P10" i="11"/>
  <c r="P27" i="11"/>
  <c r="P12" i="11"/>
  <c r="P31" i="11"/>
  <c r="P35" i="11"/>
  <c r="P21" i="11"/>
  <c r="P39" i="11"/>
  <c r="P37" i="11"/>
  <c r="P34" i="11"/>
  <c r="P29" i="11"/>
  <c r="P11" i="11"/>
  <c r="P13" i="11"/>
  <c r="P20" i="11"/>
  <c r="P22" i="11"/>
  <c r="P16" i="11"/>
  <c r="P36" i="11"/>
  <c r="P28" i="11"/>
  <c r="P30" i="11"/>
  <c r="P24" i="11"/>
  <c r="P17" i="11"/>
  <c r="P38" i="11"/>
  <c r="P14" i="11"/>
  <c r="P32" i="11"/>
  <c r="P25" i="11"/>
  <c r="P19" i="11"/>
  <c r="P40" i="11"/>
  <c r="P23" i="11"/>
  <c r="P41" i="11"/>
  <c r="M23" i="12"/>
  <c r="M23" i="13"/>
  <c r="M31" i="12"/>
  <c r="M31" i="13"/>
  <c r="M39" i="12"/>
  <c r="M39" i="13"/>
  <c r="M12" i="12"/>
  <c r="M12" i="13"/>
  <c r="M32" i="12"/>
  <c r="M32" i="13"/>
  <c r="M40" i="12"/>
  <c r="M40" i="13"/>
  <c r="M18" i="12"/>
  <c r="M18" i="13"/>
  <c r="N26" i="12"/>
  <c r="N26" i="13"/>
  <c r="N5" i="12"/>
  <c r="N5" i="13"/>
  <c r="T35" i="12"/>
  <c r="T35" i="13"/>
  <c r="S37" i="11"/>
  <c r="R37" i="12"/>
  <c r="S37" i="12" s="1"/>
  <c r="R37" i="13"/>
  <c r="S37" i="13" s="1"/>
  <c r="R35" i="12"/>
  <c r="S35" i="12" s="1"/>
  <c r="S35" i="11"/>
  <c r="R35" i="13"/>
  <c r="S35" i="13" s="1"/>
  <c r="R19" i="12"/>
  <c r="S19" i="12" s="1"/>
  <c r="S19" i="11"/>
  <c r="R19" i="13"/>
  <c r="S19" i="13" s="1"/>
  <c r="R7" i="12"/>
  <c r="S7" i="12" s="1"/>
  <c r="S7" i="11"/>
  <c r="R7" i="13"/>
  <c r="S7" i="13" s="1"/>
  <c r="T37" i="12"/>
  <c r="T37" i="13"/>
  <c r="T20" i="12"/>
  <c r="T20" i="13"/>
  <c r="T39" i="12"/>
  <c r="T39" i="13"/>
  <c r="T8" i="12"/>
  <c r="T8" i="13"/>
  <c r="M42" i="7"/>
  <c r="P46" i="9"/>
  <c r="P47" i="9"/>
  <c r="P10" i="9"/>
  <c r="P22" i="9"/>
  <c r="P9" i="9"/>
  <c r="S46" i="12"/>
  <c r="S46" i="13"/>
  <c r="S46" i="11"/>
  <c r="S46" i="10"/>
  <c r="W14" i="9"/>
  <c r="W50" i="9"/>
  <c r="W12" i="9"/>
  <c r="W33" i="9"/>
  <c r="W45" i="9"/>
  <c r="M33" i="7"/>
  <c r="M28" i="7"/>
  <c r="O24" i="8"/>
  <c r="O24" i="9"/>
  <c r="O34" i="9"/>
  <c r="O31" i="9"/>
  <c r="O13" i="9"/>
  <c r="O15" i="9"/>
  <c r="M17" i="7"/>
  <c r="L36" i="9"/>
  <c r="L11" i="9"/>
  <c r="L35" i="9"/>
  <c r="L7" i="9"/>
  <c r="L16" i="9"/>
  <c r="L28" i="9"/>
  <c r="Q43" i="9"/>
  <c r="Q48" i="9"/>
  <c r="Q49" i="9"/>
  <c r="Q11" i="9"/>
  <c r="Q25" i="9"/>
  <c r="Q29" i="9"/>
  <c r="Q24" i="9"/>
  <c r="S53" i="7"/>
  <c r="M39" i="7"/>
  <c r="X14" i="9"/>
  <c r="X15" i="9"/>
  <c r="X28" i="9"/>
  <c r="X29" i="9"/>
  <c r="X34" i="9"/>
  <c r="X42" i="9"/>
  <c r="U23" i="9"/>
  <c r="U16" i="9"/>
  <c r="U44" i="9"/>
  <c r="U34" i="9"/>
  <c r="U39" i="9"/>
  <c r="U47" i="9"/>
  <c r="AD38" i="7"/>
  <c r="AC38" i="9"/>
  <c r="AD38" i="9" s="1"/>
  <c r="AD49" i="7"/>
  <c r="AC49" i="9"/>
  <c r="AD49" i="9" s="1"/>
  <c r="AD48" i="7"/>
  <c r="AC48" i="9"/>
  <c r="AD48" i="9" s="1"/>
  <c r="AD5" i="7"/>
  <c r="AC5" i="9"/>
  <c r="AC53" i="7"/>
  <c r="AC58" i="7" s="1"/>
  <c r="AC49" i="8" s="1"/>
  <c r="AD49" i="8" s="1"/>
  <c r="AD13" i="7"/>
  <c r="AC13" i="9"/>
  <c r="AD13" i="9" s="1"/>
  <c r="AH49" i="9"/>
  <c r="AH33" i="9"/>
  <c r="AH28" i="9"/>
  <c r="AH7" i="9"/>
  <c r="AH9" i="9"/>
  <c r="M50" i="7"/>
  <c r="F35" i="5"/>
  <c r="L46" i="13"/>
  <c r="L46" i="10"/>
  <c r="L46" i="12"/>
  <c r="L46" i="11"/>
  <c r="M25" i="12"/>
  <c r="M25" i="13"/>
  <c r="AD45" i="7"/>
  <c r="AC45" i="9"/>
  <c r="AD45" i="9" s="1"/>
  <c r="T16" i="12"/>
  <c r="T16" i="13"/>
  <c r="P14" i="9"/>
  <c r="W7" i="9"/>
  <c r="W39" i="9"/>
  <c r="O26" i="9"/>
  <c r="L44" i="9"/>
  <c r="L23" i="9"/>
  <c r="Q46" i="9"/>
  <c r="X39" i="9"/>
  <c r="U26" i="9"/>
  <c r="S45" i="12"/>
  <c r="S45" i="13"/>
  <c r="S45" i="11"/>
  <c r="S45" i="10"/>
  <c r="V54" i="8"/>
  <c r="V58" i="8" s="1"/>
  <c r="V54" i="9"/>
  <c r="V54" i="7"/>
  <c r="Y60" i="6"/>
  <c r="Y54" i="8"/>
  <c r="Y58" i="8" s="1"/>
  <c r="Y54" i="9"/>
  <c r="Y54" i="7"/>
  <c r="U15" i="11"/>
  <c r="U7" i="11"/>
  <c r="U10" i="11"/>
  <c r="U8" i="11"/>
  <c r="U5" i="11"/>
  <c r="U9" i="11"/>
  <c r="U37" i="11"/>
  <c r="U6" i="11"/>
  <c r="U12" i="11"/>
  <c r="U30" i="11"/>
  <c r="U31" i="11"/>
  <c r="U19" i="11"/>
  <c r="U21" i="11"/>
  <c r="U38" i="11"/>
  <c r="U39" i="11"/>
  <c r="U16" i="11"/>
  <c r="U17" i="11"/>
  <c r="U27" i="11"/>
  <c r="U11" i="11"/>
  <c r="U29" i="11"/>
  <c r="U24" i="11"/>
  <c r="U36" i="11"/>
  <c r="U25" i="11"/>
  <c r="U20" i="11"/>
  <c r="U32" i="11"/>
  <c r="U33" i="11"/>
  <c r="U28" i="11"/>
  <c r="U40" i="11"/>
  <c r="U35" i="11"/>
  <c r="U41" i="11"/>
  <c r="U18" i="11"/>
  <c r="U26" i="11"/>
  <c r="U13" i="11"/>
  <c r="U14" i="11"/>
  <c r="U34" i="11"/>
  <c r="U22" i="11"/>
  <c r="U23" i="11"/>
  <c r="M13" i="7"/>
  <c r="N27" i="12"/>
  <c r="N27" i="13"/>
  <c r="N35" i="12"/>
  <c r="N35" i="13"/>
  <c r="M16" i="12"/>
  <c r="M16" i="13"/>
  <c r="M30" i="12"/>
  <c r="M30" i="13"/>
  <c r="M11" i="12"/>
  <c r="M11" i="13"/>
  <c r="M5" i="12"/>
  <c r="M5" i="13"/>
  <c r="M43" i="11"/>
  <c r="M20" i="12"/>
  <c r="M20" i="13"/>
  <c r="M26" i="12"/>
  <c r="M26" i="13"/>
  <c r="N41" i="12"/>
  <c r="N41" i="13"/>
  <c r="N8" i="13"/>
  <c r="N8" i="12"/>
  <c r="R34" i="12"/>
  <c r="S34" i="12" s="1"/>
  <c r="S34" i="11"/>
  <c r="R34" i="13"/>
  <c r="S34" i="13" s="1"/>
  <c r="R17" i="12"/>
  <c r="S17" i="12" s="1"/>
  <c r="S17" i="11"/>
  <c r="R17" i="13"/>
  <c r="S17" i="13" s="1"/>
  <c r="R18" i="12"/>
  <c r="S18" i="12" s="1"/>
  <c r="S18" i="11"/>
  <c r="R18" i="13"/>
  <c r="S18" i="13" s="1"/>
  <c r="R15" i="12"/>
  <c r="S15" i="12" s="1"/>
  <c r="S15" i="11"/>
  <c r="R15" i="13"/>
  <c r="S15" i="13" s="1"/>
  <c r="T36" i="12"/>
  <c r="T36" i="13"/>
  <c r="T24" i="12"/>
  <c r="T24" i="13"/>
  <c r="T13" i="12"/>
  <c r="T13" i="13"/>
  <c r="T10" i="12"/>
  <c r="T10" i="13"/>
  <c r="M12" i="7"/>
  <c r="P51" i="9"/>
  <c r="P45" i="9"/>
  <c r="P13" i="9"/>
  <c r="P8" i="9"/>
  <c r="P24" i="9"/>
  <c r="W17" i="9"/>
  <c r="W18" i="9"/>
  <c r="W5" i="9"/>
  <c r="W53" i="7"/>
  <c r="W58" i="7" s="1"/>
  <c r="W36" i="8" s="1"/>
  <c r="W16" i="9"/>
  <c r="W37" i="9"/>
  <c r="W38" i="9"/>
  <c r="Q19" i="9"/>
  <c r="M11" i="7"/>
  <c r="O39" i="9"/>
  <c r="O27" i="9"/>
  <c r="O30" i="9"/>
  <c r="O17" i="9"/>
  <c r="O19" i="9"/>
  <c r="M32" i="7"/>
  <c r="L20" i="9"/>
  <c r="L51" i="9"/>
  <c r="L41" i="9"/>
  <c r="L14" i="9"/>
  <c r="L6" i="9"/>
  <c r="M23" i="7"/>
  <c r="M38" i="7"/>
  <c r="Q44" i="9"/>
  <c r="Q12" i="9"/>
  <c r="Q33" i="9"/>
  <c r="Q34" i="9"/>
  <c r="Q14" i="9"/>
  <c r="Q28" i="9"/>
  <c r="M31" i="7"/>
  <c r="X18" i="9"/>
  <c r="X19" i="8"/>
  <c r="X19" i="9"/>
  <c r="X32" i="9"/>
  <c r="X33" i="9"/>
  <c r="X45" i="9"/>
  <c r="M44" i="7"/>
  <c r="U25" i="9"/>
  <c r="U20" i="9"/>
  <c r="U7" i="9"/>
  <c r="U45" i="9"/>
  <c r="U46" i="9"/>
  <c r="M41" i="7"/>
  <c r="AD37" i="7"/>
  <c r="AC37" i="9"/>
  <c r="AD37" i="9" s="1"/>
  <c r="AD51" i="7"/>
  <c r="AC51" i="9"/>
  <c r="AD51" i="9" s="1"/>
  <c r="AD47" i="7"/>
  <c r="AC47" i="9"/>
  <c r="AD47" i="9" s="1"/>
  <c r="AD15" i="7"/>
  <c r="AC15" i="9"/>
  <c r="AD15" i="9" s="1"/>
  <c r="AD17" i="7"/>
  <c r="AC17" i="9"/>
  <c r="AD17" i="9" s="1"/>
  <c r="AH22" i="9"/>
  <c r="AH23" i="8"/>
  <c r="AH23" i="9"/>
  <c r="AH27" i="9"/>
  <c r="AH14" i="9"/>
  <c r="AH12" i="9"/>
  <c r="M48" i="7"/>
  <c r="R28" i="12"/>
  <c r="S28" i="12" s="1"/>
  <c r="R24" i="12"/>
  <c r="S24" i="12" s="1"/>
  <c r="S24" i="11"/>
  <c r="R24" i="13"/>
  <c r="S24" i="13" s="1"/>
  <c r="W25" i="9"/>
  <c r="O11" i="9"/>
  <c r="L38" i="9"/>
  <c r="Q38" i="9"/>
  <c r="U9" i="9"/>
  <c r="AH17" i="9"/>
  <c r="V50" i="7"/>
  <c r="V43" i="7"/>
  <c r="V36" i="7"/>
  <c r="V32" i="7"/>
  <c r="V28" i="7"/>
  <c r="V24" i="7"/>
  <c r="V46" i="7"/>
  <c r="V39" i="7"/>
  <c r="V42" i="7"/>
  <c r="V35" i="7"/>
  <c r="V31" i="7"/>
  <c r="V49" i="7"/>
  <c r="V38" i="7"/>
  <c r="V45" i="7"/>
  <c r="V34" i="7"/>
  <c r="V30" i="7"/>
  <c r="V26" i="7"/>
  <c r="V48" i="7"/>
  <c r="V41" i="7"/>
  <c r="V51" i="7"/>
  <c r="V44" i="7"/>
  <c r="V37" i="7"/>
  <c r="V33" i="7"/>
  <c r="V29" i="7"/>
  <c r="V25" i="7"/>
  <c r="V21" i="7"/>
  <c r="V17" i="7"/>
  <c r="V13" i="7"/>
  <c r="V10" i="7"/>
  <c r="V6" i="7"/>
  <c r="V20" i="7"/>
  <c r="V16" i="7"/>
  <c r="V12" i="7"/>
  <c r="V47" i="7"/>
  <c r="V9" i="7"/>
  <c r="V27" i="7"/>
  <c r="V19" i="7"/>
  <c r="V15" i="7"/>
  <c r="V5" i="7"/>
  <c r="V23" i="7"/>
  <c r="V11" i="7"/>
  <c r="V8" i="7"/>
  <c r="V40" i="7"/>
  <c r="V22" i="7"/>
  <c r="V18" i="7"/>
  <c r="V14" i="7"/>
  <c r="V7" i="7"/>
  <c r="O10" i="11"/>
  <c r="O8" i="11"/>
  <c r="O5" i="11"/>
  <c r="O9" i="11"/>
  <c r="O6" i="11"/>
  <c r="O35" i="11"/>
  <c r="O31" i="11"/>
  <c r="O15" i="11"/>
  <c r="O23" i="11"/>
  <c r="O7" i="11"/>
  <c r="O20" i="11"/>
  <c r="O13" i="11"/>
  <c r="O40" i="11"/>
  <c r="O18" i="11"/>
  <c r="O28" i="11"/>
  <c r="O22" i="11"/>
  <c r="O39" i="11"/>
  <c r="O26" i="11"/>
  <c r="O36" i="11"/>
  <c r="O12" i="11"/>
  <c r="O30" i="11"/>
  <c r="O16" i="11"/>
  <c r="O17" i="11"/>
  <c r="O21" i="11"/>
  <c r="O38" i="11"/>
  <c r="O24" i="11"/>
  <c r="O34" i="11"/>
  <c r="O25" i="11"/>
  <c r="O29" i="11"/>
  <c r="O14" i="11"/>
  <c r="O32" i="11"/>
  <c r="O33" i="11"/>
  <c r="O37" i="11"/>
  <c r="O41" i="11"/>
  <c r="O19" i="11"/>
  <c r="O27" i="11"/>
  <c r="O11" i="11"/>
  <c r="Z8" i="11"/>
  <c r="Z5" i="11"/>
  <c r="Z6" i="11"/>
  <c r="Z9" i="11"/>
  <c r="Z15" i="11"/>
  <c r="Z7" i="11"/>
  <c r="Z18" i="11"/>
  <c r="Z38" i="11"/>
  <c r="Z26" i="11"/>
  <c r="Z10" i="11"/>
  <c r="Z13" i="11"/>
  <c r="Z39" i="11"/>
  <c r="Z16" i="11"/>
  <c r="Z33" i="11"/>
  <c r="Z11" i="11"/>
  <c r="Z12" i="11"/>
  <c r="Z22" i="11"/>
  <c r="Z24" i="11"/>
  <c r="Z41" i="11"/>
  <c r="Z20" i="11"/>
  <c r="Z21" i="11"/>
  <c r="Z30" i="11"/>
  <c r="Z32" i="11"/>
  <c r="Z28" i="11"/>
  <c r="Z29" i="11"/>
  <c r="Z40" i="11"/>
  <c r="Z35" i="11"/>
  <c r="Z36" i="11"/>
  <c r="Z37" i="11"/>
  <c r="Z14" i="11"/>
  <c r="Z34" i="11"/>
  <c r="Z23" i="11"/>
  <c r="Z17" i="11"/>
  <c r="Z19" i="11"/>
  <c r="Z27" i="11"/>
  <c r="Z25" i="11"/>
  <c r="Z31" i="11"/>
  <c r="M19" i="12"/>
  <c r="M19" i="13"/>
  <c r="M27" i="12"/>
  <c r="M27" i="13"/>
  <c r="N21" i="12"/>
  <c r="N21" i="13"/>
  <c r="N17" i="12"/>
  <c r="N17" i="13"/>
  <c r="M8" i="12"/>
  <c r="M8" i="13"/>
  <c r="M33" i="12"/>
  <c r="M33" i="13"/>
  <c r="M28" i="12"/>
  <c r="M28" i="13"/>
  <c r="N20" i="12"/>
  <c r="N20" i="13"/>
  <c r="N10" i="12"/>
  <c r="N10" i="13"/>
  <c r="R33" i="12"/>
  <c r="S33" i="12" s="1"/>
  <c r="S33" i="11"/>
  <c r="R33" i="13"/>
  <c r="S33" i="13" s="1"/>
  <c r="R12" i="12"/>
  <c r="S12" i="12" s="1"/>
  <c r="S12" i="11"/>
  <c r="R12" i="13"/>
  <c r="S12" i="13" s="1"/>
  <c r="R30" i="12"/>
  <c r="S30" i="12" s="1"/>
  <c r="S30" i="11"/>
  <c r="R30" i="13"/>
  <c r="S30" i="13" s="1"/>
  <c r="R6" i="12"/>
  <c r="S6" i="12" s="1"/>
  <c r="S6" i="11"/>
  <c r="R6" i="13"/>
  <c r="S6" i="13" s="1"/>
  <c r="T19" i="12"/>
  <c r="T19" i="13"/>
  <c r="T38" i="12"/>
  <c r="T38" i="13"/>
  <c r="T26" i="12"/>
  <c r="T26" i="13"/>
  <c r="T7" i="12"/>
  <c r="T7" i="13"/>
  <c r="P48" i="9"/>
  <c r="P34" i="9"/>
  <c r="P44" i="9"/>
  <c r="P17" i="9"/>
  <c r="P11" i="9"/>
  <c r="P28" i="9"/>
  <c r="W24" i="8"/>
  <c r="W24" i="9"/>
  <c r="W22" i="9"/>
  <c r="W15" i="9"/>
  <c r="W20" i="8"/>
  <c r="W20" i="9"/>
  <c r="W44" i="8"/>
  <c r="W44" i="9"/>
  <c r="W49" i="9"/>
  <c r="P36" i="9"/>
  <c r="M20" i="7"/>
  <c r="O45" i="9"/>
  <c r="O37" i="9"/>
  <c r="O46" i="9"/>
  <c r="O44" i="8"/>
  <c r="O44" i="9"/>
  <c r="O7" i="9"/>
  <c r="O9" i="9"/>
  <c r="M19" i="7"/>
  <c r="P42" i="9"/>
  <c r="L50" i="9"/>
  <c r="L34" i="9"/>
  <c r="L19" i="9"/>
  <c r="L22" i="9"/>
  <c r="L10" i="9"/>
  <c r="M36" i="7"/>
  <c r="Q35" i="9"/>
  <c r="Q47" i="9"/>
  <c r="Q31" i="9"/>
  <c r="Q9" i="9"/>
  <c r="Q26" i="9"/>
  <c r="X6" i="9"/>
  <c r="X22" i="8"/>
  <c r="X22" i="9"/>
  <c r="X9" i="9"/>
  <c r="X36" i="9"/>
  <c r="X37" i="9"/>
  <c r="X38" i="8"/>
  <c r="X38" i="9"/>
  <c r="U22" i="9"/>
  <c r="U5" i="9"/>
  <c r="U53" i="7"/>
  <c r="U58" i="7" s="1"/>
  <c r="U12" i="8" s="1"/>
  <c r="U29" i="9"/>
  <c r="U24" i="9"/>
  <c r="U38" i="9"/>
  <c r="U28" i="9"/>
  <c r="AD44" i="7"/>
  <c r="AC44" i="9"/>
  <c r="AD44" i="9" s="1"/>
  <c r="AD33" i="7"/>
  <c r="AC33" i="9"/>
  <c r="AD33" i="9" s="1"/>
  <c r="AD50" i="7"/>
  <c r="AC50" i="9"/>
  <c r="AD50" i="9" s="1"/>
  <c r="AD19" i="7"/>
  <c r="AC19" i="9"/>
  <c r="AD19" i="9" s="1"/>
  <c r="AD7" i="7"/>
  <c r="AC7" i="9"/>
  <c r="AD7" i="9" s="1"/>
  <c r="M49" i="7"/>
  <c r="R41" i="12"/>
  <c r="S41" i="12" s="1"/>
  <c r="S41" i="11"/>
  <c r="R41" i="13"/>
  <c r="S41" i="13" s="1"/>
  <c r="AH50" i="8"/>
  <c r="AH50" i="9"/>
  <c r="AH36" i="9"/>
  <c r="AH26" i="9"/>
  <c r="AH18" i="9"/>
  <c r="AH16" i="8"/>
  <c r="AH16" i="9"/>
  <c r="M6" i="7"/>
  <c r="M16" i="7"/>
  <c r="M9" i="7"/>
  <c r="M15" i="7"/>
  <c r="M5" i="7"/>
  <c r="M10" i="7"/>
  <c r="M14" i="7"/>
  <c r="N54" i="8"/>
  <c r="N58" i="8" s="1"/>
  <c r="N54" i="9"/>
  <c r="N54" i="7"/>
  <c r="V15" i="11"/>
  <c r="W15" i="11" s="1"/>
  <c r="V7" i="11"/>
  <c r="V10" i="11"/>
  <c r="V8" i="11"/>
  <c r="V5" i="11"/>
  <c r="V9" i="11"/>
  <c r="W9" i="11" s="1"/>
  <c r="V6" i="11"/>
  <c r="V28" i="11"/>
  <c r="V12" i="11"/>
  <c r="W12" i="11" s="1"/>
  <c r="V20" i="11"/>
  <c r="V35" i="11"/>
  <c r="V39" i="11"/>
  <c r="V16" i="11"/>
  <c r="W16" i="11" s="1"/>
  <c r="V17" i="11"/>
  <c r="V21" i="11"/>
  <c r="V14" i="11"/>
  <c r="W14" i="11" s="1"/>
  <c r="V24" i="11"/>
  <c r="V25" i="11"/>
  <c r="V38" i="11"/>
  <c r="V29" i="11"/>
  <c r="V23" i="11"/>
  <c r="V32" i="11"/>
  <c r="W32" i="11" s="1"/>
  <c r="V33" i="11"/>
  <c r="W33" i="11" s="1"/>
  <c r="V13" i="11"/>
  <c r="V31" i="11"/>
  <c r="V40" i="11"/>
  <c r="V41" i="11"/>
  <c r="V18" i="11"/>
  <c r="V37" i="11"/>
  <c r="V19" i="11"/>
  <c r="V22" i="11"/>
  <c r="V26" i="11"/>
  <c r="W26" i="11" s="1"/>
  <c r="V27" i="11"/>
  <c r="W27" i="11" s="1"/>
  <c r="V34" i="11"/>
  <c r="V36" i="11"/>
  <c r="V30" i="11"/>
  <c r="W30" i="11" s="1"/>
  <c r="V11" i="11"/>
  <c r="W11" i="11" s="1"/>
  <c r="N22" i="12"/>
  <c r="N22" i="13"/>
  <c r="N30" i="12"/>
  <c r="N30" i="13"/>
  <c r="M34" i="12"/>
  <c r="M34" i="13"/>
  <c r="M24" i="12"/>
  <c r="M24" i="13"/>
  <c r="M10" i="12"/>
  <c r="M10" i="13"/>
  <c r="N34" i="12"/>
  <c r="N34" i="13"/>
  <c r="N7" i="12"/>
  <c r="N7" i="13"/>
  <c r="S20" i="11"/>
  <c r="R20" i="12"/>
  <c r="S20" i="12" s="1"/>
  <c r="R20" i="13"/>
  <c r="S20" i="13" s="1"/>
  <c r="R23" i="12"/>
  <c r="S23" i="12" s="1"/>
  <c r="S23" i="11"/>
  <c r="R23" i="13"/>
  <c r="S23" i="13" s="1"/>
  <c r="R40" i="12"/>
  <c r="S40" i="12" s="1"/>
  <c r="S40" i="11"/>
  <c r="R40" i="13"/>
  <c r="S40" i="13" s="1"/>
  <c r="R16" i="12"/>
  <c r="S16" i="12" s="1"/>
  <c r="S16" i="11"/>
  <c r="R16" i="13"/>
  <c r="S16" i="13" s="1"/>
  <c r="R9" i="12"/>
  <c r="S9" i="12" s="1"/>
  <c r="S9" i="11"/>
  <c r="R9" i="13"/>
  <c r="S9" i="13" s="1"/>
  <c r="T29" i="12"/>
  <c r="T29" i="13"/>
  <c r="T33" i="12"/>
  <c r="T33" i="13"/>
  <c r="T25" i="12"/>
  <c r="T25" i="13"/>
  <c r="T15" i="12"/>
  <c r="T15" i="13"/>
  <c r="P49" i="9"/>
  <c r="P33" i="9"/>
  <c r="P12" i="9"/>
  <c r="P21" i="9"/>
  <c r="P5" i="9"/>
  <c r="P53" i="7"/>
  <c r="P58" i="7" s="1"/>
  <c r="P35" i="8" s="1"/>
  <c r="P29" i="9"/>
  <c r="W21" i="8"/>
  <c r="W21" i="9"/>
  <c r="W26" i="8"/>
  <c r="W26" i="9"/>
  <c r="W19" i="8"/>
  <c r="W19" i="9"/>
  <c r="W6" i="8"/>
  <c r="W6" i="9"/>
  <c r="W51" i="8"/>
  <c r="W51" i="9"/>
  <c r="W31" i="8"/>
  <c r="W31" i="9"/>
  <c r="M21" i="7"/>
  <c r="O28" i="9"/>
  <c r="O43" i="8"/>
  <c r="O43" i="9"/>
  <c r="O48" i="9"/>
  <c r="O41" i="8"/>
  <c r="O41" i="9"/>
  <c r="O14" i="8"/>
  <c r="O14" i="9"/>
  <c r="O12" i="8"/>
  <c r="O12" i="9"/>
  <c r="M29" i="7"/>
  <c r="L37" i="9"/>
  <c r="L31" i="9"/>
  <c r="L48" i="9"/>
  <c r="L17" i="9"/>
  <c r="L8" i="9"/>
  <c r="L13" i="9"/>
  <c r="M24" i="7"/>
  <c r="Q40" i="9"/>
  <c r="Q17" i="9"/>
  <c r="Q30" i="9"/>
  <c r="Q16" i="9"/>
  <c r="Q8" i="9"/>
  <c r="M40" i="7"/>
  <c r="P37" i="9"/>
  <c r="X10" i="9"/>
  <c r="X26" i="9"/>
  <c r="X12" i="9"/>
  <c r="X43" i="8"/>
  <c r="X43" i="9"/>
  <c r="X44" i="9"/>
  <c r="X49" i="9"/>
  <c r="U14" i="8"/>
  <c r="U14" i="9"/>
  <c r="U15" i="8"/>
  <c r="U15" i="9"/>
  <c r="U6" i="8"/>
  <c r="U6" i="9"/>
  <c r="U33" i="8"/>
  <c r="U33" i="9"/>
  <c r="U49" i="8"/>
  <c r="U49" i="9"/>
  <c r="U32" i="8"/>
  <c r="U32" i="9"/>
  <c r="AD34" i="7"/>
  <c r="AC34" i="9"/>
  <c r="AD34" i="9" s="1"/>
  <c r="AD43" i="7"/>
  <c r="AC43" i="9"/>
  <c r="AD43" i="9" s="1"/>
  <c r="AD41" i="7"/>
  <c r="AC41" i="9"/>
  <c r="AD41" i="9" s="1"/>
  <c r="AD9" i="7"/>
  <c r="AC9" i="9"/>
  <c r="AD9" i="9" s="1"/>
  <c r="AD10" i="7"/>
  <c r="AC10" i="9"/>
  <c r="AD10" i="9" s="1"/>
  <c r="M35" i="7"/>
  <c r="AH41" i="8"/>
  <c r="AH41" i="9"/>
  <c r="AH34" i="9"/>
  <c r="AH32" i="9"/>
  <c r="AH8" i="9"/>
  <c r="AH20" i="8"/>
  <c r="AH20" i="9"/>
  <c r="N39" i="12"/>
  <c r="N39" i="13"/>
  <c r="N6" i="12"/>
  <c r="N6" i="13"/>
  <c r="R14" i="12"/>
  <c r="S14" i="12" s="1"/>
  <c r="S14" i="11"/>
  <c r="R14" i="13"/>
  <c r="S14" i="13" s="1"/>
  <c r="T14" i="12"/>
  <c r="T14" i="13"/>
  <c r="M46" i="7"/>
  <c r="P23" i="9"/>
  <c r="P39" i="9"/>
  <c r="O49" i="8"/>
  <c r="O49" i="9"/>
  <c r="Q13" i="9"/>
  <c r="X21" i="9"/>
  <c r="X48" i="8"/>
  <c r="X48" i="9"/>
  <c r="U17" i="8"/>
  <c r="U17" i="9"/>
  <c r="AD36" i="7"/>
  <c r="AC36" i="8"/>
  <c r="AD36" i="8" s="1"/>
  <c r="AC36" i="9"/>
  <c r="AD36" i="9" s="1"/>
  <c r="AH10" i="9"/>
  <c r="M25" i="7"/>
  <c r="N37" i="12"/>
  <c r="N37" i="13"/>
  <c r="N29" i="12"/>
  <c r="N29" i="13"/>
  <c r="M17" i="12"/>
  <c r="M17" i="13"/>
  <c r="M7" i="12"/>
  <c r="M7" i="13"/>
  <c r="M41" i="12"/>
  <c r="M41" i="13"/>
  <c r="N12" i="12"/>
  <c r="N12" i="13"/>
  <c r="N15" i="12"/>
  <c r="N15" i="13"/>
  <c r="Q7" i="9"/>
  <c r="R39" i="12"/>
  <c r="S39" i="12" s="1"/>
  <c r="S39" i="11"/>
  <c r="R39" i="13"/>
  <c r="S39" i="13" s="1"/>
  <c r="R29" i="12"/>
  <c r="S29" i="12" s="1"/>
  <c r="S29" i="11"/>
  <c r="R29" i="13"/>
  <c r="S29" i="13" s="1"/>
  <c r="R27" i="12"/>
  <c r="S27" i="12" s="1"/>
  <c r="S27" i="11"/>
  <c r="R27" i="13"/>
  <c r="S27" i="13" s="1"/>
  <c r="R36" i="12"/>
  <c r="S36" i="12" s="1"/>
  <c r="S36" i="11"/>
  <c r="R36" i="13"/>
  <c r="S36" i="13" s="1"/>
  <c r="R5" i="12"/>
  <c r="S5" i="11"/>
  <c r="R5" i="13"/>
  <c r="R43" i="11"/>
  <c r="T28" i="12"/>
  <c r="T28" i="13"/>
  <c r="T12" i="12"/>
  <c r="T12" i="13"/>
  <c r="T31" i="12"/>
  <c r="T31" i="13"/>
  <c r="T6" i="12"/>
  <c r="T6" i="13"/>
  <c r="P40" i="9"/>
  <c r="P38" i="9"/>
  <c r="P26" i="9"/>
  <c r="P27" i="9"/>
  <c r="P15" i="9"/>
  <c r="W10" i="8"/>
  <c r="W10" i="9"/>
  <c r="W32" i="8"/>
  <c r="W32" i="9"/>
  <c r="W27" i="8"/>
  <c r="W27" i="9"/>
  <c r="W40" i="8"/>
  <c r="W40" i="9"/>
  <c r="W41" i="8"/>
  <c r="W41" i="9"/>
  <c r="W35" i="8"/>
  <c r="W35" i="9"/>
  <c r="O51" i="8"/>
  <c r="O51" i="9"/>
  <c r="O42" i="8"/>
  <c r="O42" i="9"/>
  <c r="O47" i="8"/>
  <c r="O47" i="9"/>
  <c r="O32" i="8"/>
  <c r="O32" i="9"/>
  <c r="O18" i="8"/>
  <c r="O18" i="9"/>
  <c r="O16" i="8"/>
  <c r="O16" i="9"/>
  <c r="M30" i="7"/>
  <c r="AD40" i="7"/>
  <c r="AC40" i="9"/>
  <c r="AD40" i="9" s="1"/>
  <c r="M34" i="7"/>
  <c r="L30" i="9"/>
  <c r="L18" i="9"/>
  <c r="L33" i="9"/>
  <c r="L5" i="9"/>
  <c r="L53" i="7"/>
  <c r="L58" i="7" s="1"/>
  <c r="L46" i="8" s="1"/>
  <c r="L21" i="9"/>
  <c r="M26" i="7"/>
  <c r="Q45" i="9"/>
  <c r="Q41" i="9"/>
  <c r="Q42" i="9"/>
  <c r="Q6" i="9"/>
  <c r="Q53" i="7"/>
  <c r="Q58" i="7" s="1"/>
  <c r="Q49" i="8" s="1"/>
  <c r="Q5" i="9"/>
  <c r="X13" i="8"/>
  <c r="X13" i="9"/>
  <c r="X8" i="8"/>
  <c r="X8" i="9"/>
  <c r="X16" i="8"/>
  <c r="X16" i="9"/>
  <c r="X50" i="8"/>
  <c r="X50" i="9"/>
  <c r="X51" i="8"/>
  <c r="X51" i="9"/>
  <c r="X23" i="8"/>
  <c r="X23" i="9"/>
  <c r="U51" i="8"/>
  <c r="U51" i="9"/>
  <c r="U19" i="8"/>
  <c r="U19" i="9"/>
  <c r="U10" i="8"/>
  <c r="U10" i="9"/>
  <c r="U41" i="8"/>
  <c r="U41" i="9"/>
  <c r="U27" i="8"/>
  <c r="U27" i="9"/>
  <c r="U36" i="8"/>
  <c r="U36" i="9"/>
  <c r="AD30" i="7"/>
  <c r="AC30" i="9"/>
  <c r="AD30" i="9" s="1"/>
  <c r="AD22" i="7"/>
  <c r="AC22" i="9"/>
  <c r="AD22" i="9" s="1"/>
  <c r="AD23" i="7"/>
  <c r="AC23" i="9"/>
  <c r="AD23" i="9" s="1"/>
  <c r="AD12" i="7"/>
  <c r="AC12" i="9"/>
  <c r="AD12" i="9" s="1"/>
  <c r="AD14" i="7"/>
  <c r="AC14" i="9"/>
  <c r="AD14" i="9" s="1"/>
  <c r="AH43" i="8"/>
  <c r="AH43" i="9"/>
  <c r="AH40" i="8"/>
  <c r="AH40" i="9"/>
  <c r="AH24" i="8"/>
  <c r="AH24" i="9"/>
  <c r="AH31" i="8"/>
  <c r="AH31" i="9"/>
  <c r="AH11" i="8"/>
  <c r="AH11" i="9"/>
  <c r="AH6" i="8"/>
  <c r="AH6" i="9"/>
  <c r="N31" i="12"/>
  <c r="N31" i="13"/>
  <c r="M38" i="12"/>
  <c r="M38" i="13"/>
  <c r="N33" i="12"/>
  <c r="N33" i="13"/>
  <c r="T30" i="12"/>
  <c r="T30" i="13"/>
  <c r="P31" i="9"/>
  <c r="W30" i="8"/>
  <c r="W30" i="9"/>
  <c r="AD39" i="7"/>
  <c r="AC39" i="9"/>
  <c r="AD39" i="9" s="1"/>
  <c r="O25" i="8"/>
  <c r="O25" i="9"/>
  <c r="L40" i="9"/>
  <c r="L26" i="9"/>
  <c r="Q23" i="9"/>
  <c r="X47" i="8"/>
  <c r="X47" i="9"/>
  <c r="U50" i="8"/>
  <c r="U50" i="9"/>
  <c r="AH19" i="8"/>
  <c r="AH19" i="9"/>
  <c r="E35" i="5"/>
  <c r="L45" i="12"/>
  <c r="L45" i="13"/>
  <c r="L45" i="11"/>
  <c r="L45" i="10"/>
  <c r="D46" i="5"/>
  <c r="Q44" i="12"/>
  <c r="Q44" i="10"/>
  <c r="Q44" i="11"/>
  <c r="Q44" i="13"/>
  <c r="N36" i="12"/>
  <c r="N36" i="13"/>
  <c r="M21" i="12"/>
  <c r="M21" i="13"/>
  <c r="M9" i="12"/>
  <c r="M9" i="13"/>
  <c r="M15" i="12"/>
  <c r="M15" i="13"/>
  <c r="N16" i="12"/>
  <c r="N16" i="13"/>
  <c r="M36" i="12"/>
  <c r="M36" i="13"/>
  <c r="N28" i="12"/>
  <c r="N28" i="13"/>
  <c r="AD42" i="7"/>
  <c r="AC42" i="9"/>
  <c r="AD42" i="9" s="1"/>
  <c r="AH30" i="8"/>
  <c r="AH30" i="9"/>
  <c r="S13" i="11"/>
  <c r="R13" i="12"/>
  <c r="S13" i="12" s="1"/>
  <c r="R13" i="13"/>
  <c r="S13" i="13" s="1"/>
  <c r="R25" i="12"/>
  <c r="S25" i="12" s="1"/>
  <c r="S25" i="11"/>
  <c r="R25" i="13"/>
  <c r="S25" i="13" s="1"/>
  <c r="R26" i="12"/>
  <c r="S26" i="12" s="1"/>
  <c r="S26" i="11"/>
  <c r="R26" i="13"/>
  <c r="S26" i="13" s="1"/>
  <c r="R8" i="12"/>
  <c r="S8" i="12" s="1"/>
  <c r="S8" i="11"/>
  <c r="R8" i="13"/>
  <c r="S8" i="13" s="1"/>
  <c r="T27" i="12"/>
  <c r="T27" i="13"/>
  <c r="T32" i="12"/>
  <c r="T32" i="13"/>
  <c r="T11" i="12"/>
  <c r="T11" i="13"/>
  <c r="T22" i="12"/>
  <c r="T22" i="13"/>
  <c r="T9" i="12"/>
  <c r="T9" i="13"/>
  <c r="M43" i="7"/>
  <c r="P50" i="9"/>
  <c r="P43" i="9"/>
  <c r="P16" i="9"/>
  <c r="P7" i="8"/>
  <c r="P7" i="9"/>
  <c r="P19" i="9"/>
  <c r="W13" i="8"/>
  <c r="W13" i="9"/>
  <c r="W8" i="8"/>
  <c r="W8" i="9"/>
  <c r="W9" i="8"/>
  <c r="W9" i="9"/>
  <c r="W47" i="8"/>
  <c r="W47" i="9"/>
  <c r="W48" i="8"/>
  <c r="W48" i="9"/>
  <c r="W42" i="8"/>
  <c r="W42" i="9"/>
  <c r="M22" i="7"/>
  <c r="O50" i="8"/>
  <c r="O50" i="9"/>
  <c r="O22" i="8"/>
  <c r="O22" i="9"/>
  <c r="O38" i="8"/>
  <c r="O38" i="9"/>
  <c r="O21" i="8"/>
  <c r="O21" i="9"/>
  <c r="O8" i="8"/>
  <c r="O8" i="9"/>
  <c r="O20" i="8"/>
  <c r="O20" i="9"/>
  <c r="M8" i="7"/>
  <c r="Z53" i="8"/>
  <c r="L39" i="9"/>
  <c r="L12" i="9"/>
  <c r="L43" i="9"/>
  <c r="L45" i="9"/>
  <c r="L15" i="9"/>
  <c r="L29" i="9"/>
  <c r="Q18" i="9"/>
  <c r="Q36" i="9"/>
  <c r="Q39" i="9"/>
  <c r="Q51" i="9"/>
  <c r="Q10" i="9"/>
  <c r="Q15" i="9"/>
  <c r="R22" i="12"/>
  <c r="S22" i="12" s="1"/>
  <c r="S22" i="11"/>
  <c r="R22" i="13"/>
  <c r="S22" i="13" s="1"/>
  <c r="X17" i="8"/>
  <c r="X17" i="9"/>
  <c r="X11" i="8"/>
  <c r="X11" i="9"/>
  <c r="X20" i="8"/>
  <c r="X20" i="9"/>
  <c r="X40" i="8"/>
  <c r="X40" i="9"/>
  <c r="X41" i="8"/>
  <c r="X41" i="9"/>
  <c r="X27" i="8"/>
  <c r="X27" i="9"/>
  <c r="U18" i="8"/>
  <c r="U18" i="9"/>
  <c r="U37" i="8"/>
  <c r="U37" i="9"/>
  <c r="U13" i="8"/>
  <c r="U13" i="9"/>
  <c r="U48" i="8"/>
  <c r="U48" i="9"/>
  <c r="U31" i="8"/>
  <c r="U31" i="9"/>
  <c r="U43" i="8"/>
  <c r="U43" i="9"/>
  <c r="AD29" i="7"/>
  <c r="AC29" i="9"/>
  <c r="AD29" i="9" s="1"/>
  <c r="AD35" i="7"/>
  <c r="AC35" i="9"/>
  <c r="AD35" i="9" s="1"/>
  <c r="AD28" i="7"/>
  <c r="AC28" i="9"/>
  <c r="AD28" i="9" s="1"/>
  <c r="AD16" i="7"/>
  <c r="AC16" i="9"/>
  <c r="AD16" i="9" s="1"/>
  <c r="AD18" i="7"/>
  <c r="AC18" i="9"/>
  <c r="AD18" i="9" s="1"/>
  <c r="AH37" i="8"/>
  <c r="AH37" i="9"/>
  <c r="AH21" i="8"/>
  <c r="AH21" i="9"/>
  <c r="AH48" i="8"/>
  <c r="AH48" i="9"/>
  <c r="AH38" i="8"/>
  <c r="AH38" i="9"/>
  <c r="AH15" i="8"/>
  <c r="AH15" i="9"/>
  <c r="AH13" i="8"/>
  <c r="AH13" i="9"/>
  <c r="D10" i="5"/>
  <c r="T56" i="6" s="1"/>
  <c r="P43" i="8" l="1"/>
  <c r="X49" i="8"/>
  <c r="X26" i="8"/>
  <c r="O9" i="8"/>
  <c r="O37" i="8"/>
  <c r="O11" i="8"/>
  <c r="AH8" i="8"/>
  <c r="O48" i="8"/>
  <c r="AH18" i="8"/>
  <c r="X37" i="8"/>
  <c r="X6" i="8"/>
  <c r="O30" i="8"/>
  <c r="P19" i="8"/>
  <c r="P50" i="8"/>
  <c r="AC22" i="8"/>
  <c r="AD22" i="8" s="1"/>
  <c r="X44" i="8"/>
  <c r="X10" i="8"/>
  <c r="O7" i="8"/>
  <c r="O45" i="8"/>
  <c r="AH27" i="8"/>
  <c r="X32" i="8"/>
  <c r="O15" i="8"/>
  <c r="AH32" i="8"/>
  <c r="AH26" i="8"/>
  <c r="X36" i="8"/>
  <c r="O27" i="8"/>
  <c r="AH10" i="8"/>
  <c r="AH34" i="8"/>
  <c r="O28" i="8"/>
  <c r="W6" i="11"/>
  <c r="AH36" i="8"/>
  <c r="AC7" i="8"/>
  <c r="AD7" i="8" s="1"/>
  <c r="X9" i="8"/>
  <c r="O39" i="8"/>
  <c r="O26" i="8"/>
  <c r="P16" i="8"/>
  <c r="P31" i="8"/>
  <c r="X21" i="8"/>
  <c r="X12" i="8"/>
  <c r="O46" i="8"/>
  <c r="O19" i="8"/>
  <c r="M35" i="12"/>
  <c r="M35" i="13"/>
  <c r="L39" i="8"/>
  <c r="L15" i="8"/>
  <c r="L29" i="8"/>
  <c r="P27" i="8"/>
  <c r="P26" i="8"/>
  <c r="P38" i="8"/>
  <c r="P15" i="8"/>
  <c r="P40" i="8"/>
  <c r="X14" i="8"/>
  <c r="X34" i="8"/>
  <c r="L5" i="8"/>
  <c r="X46" i="8"/>
  <c r="N43" i="11"/>
  <c r="W37" i="8"/>
  <c r="L21" i="8"/>
  <c r="P28" i="8"/>
  <c r="U20" i="8"/>
  <c r="L33" i="8"/>
  <c r="P39" i="8"/>
  <c r="U38" i="8"/>
  <c r="L26" i="8"/>
  <c r="W31" i="11"/>
  <c r="W28" i="11"/>
  <c r="W41" i="11"/>
  <c r="W38" i="8"/>
  <c r="W35" i="11"/>
  <c r="N32" i="12"/>
  <c r="N32" i="13"/>
  <c r="AC29" i="8"/>
  <c r="AD29" i="8" s="1"/>
  <c r="AC14" i="8"/>
  <c r="AD14" i="8" s="1"/>
  <c r="AC40" i="8"/>
  <c r="AD40" i="8" s="1"/>
  <c r="N38" i="12"/>
  <c r="N38" i="13"/>
  <c r="AC34" i="8"/>
  <c r="AD34" i="8" s="1"/>
  <c r="AC33" i="8"/>
  <c r="AD33" i="8" s="1"/>
  <c r="W22" i="11"/>
  <c r="AC28" i="8"/>
  <c r="AD28" i="8" s="1"/>
  <c r="AC12" i="8"/>
  <c r="AD12" i="8" s="1"/>
  <c r="AC37" i="8"/>
  <c r="AD37" i="8" s="1"/>
  <c r="X39" i="8"/>
  <c r="AH28" i="8"/>
  <c r="AC18" i="8"/>
  <c r="AD18" i="8" s="1"/>
  <c r="AC30" i="8"/>
  <c r="AD30" i="8" s="1"/>
  <c r="P49" i="8"/>
  <c r="AC19" i="8"/>
  <c r="AD19" i="8" s="1"/>
  <c r="AH12" i="8"/>
  <c r="AH22" i="8"/>
  <c r="AC47" i="8"/>
  <c r="AD47" i="8" s="1"/>
  <c r="X29" i="8"/>
  <c r="AC25" i="8"/>
  <c r="AD25" i="8" s="1"/>
  <c r="N13" i="12"/>
  <c r="N43" i="12" s="1"/>
  <c r="N13" i="13"/>
  <c r="AC15" i="8"/>
  <c r="AD15" i="8" s="1"/>
  <c r="AC35" i="8"/>
  <c r="AD35" i="8" s="1"/>
  <c r="AC39" i="8"/>
  <c r="AD39" i="8" s="1"/>
  <c r="AC41" i="8"/>
  <c r="AD41" i="8" s="1"/>
  <c r="P37" i="8"/>
  <c r="AC44" i="8"/>
  <c r="AD44" i="8" s="1"/>
  <c r="AH33" i="8"/>
  <c r="N19" i="13"/>
  <c r="N19" i="12"/>
  <c r="AC9" i="8"/>
  <c r="AD9" i="8" s="1"/>
  <c r="AC42" i="8"/>
  <c r="AD42" i="8" s="1"/>
  <c r="AC23" i="8"/>
  <c r="AD23" i="8" s="1"/>
  <c r="AC10" i="8"/>
  <c r="AD10" i="8" s="1"/>
  <c r="AH14" i="8"/>
  <c r="AC17" i="8"/>
  <c r="AD17" i="8" s="1"/>
  <c r="X33" i="8"/>
  <c r="O17" i="8"/>
  <c r="O34" i="8"/>
  <c r="AC16" i="8"/>
  <c r="AD16" i="8" s="1"/>
  <c r="AC43" i="8"/>
  <c r="AD43" i="8" s="1"/>
  <c r="AC50" i="8"/>
  <c r="AD50" i="8" s="1"/>
  <c r="AH17" i="8"/>
  <c r="AC51" i="8"/>
  <c r="AD51" i="8" s="1"/>
  <c r="W18" i="8"/>
  <c r="N14" i="12"/>
  <c r="N14" i="13"/>
  <c r="L43" i="8"/>
  <c r="L50" i="8"/>
  <c r="W15" i="8"/>
  <c r="W25" i="8"/>
  <c r="X45" i="8"/>
  <c r="X18" i="8"/>
  <c r="L20" i="8"/>
  <c r="AH9" i="8"/>
  <c r="AH49" i="8"/>
  <c r="AH25" i="8"/>
  <c r="P20" i="8"/>
  <c r="U44" i="8"/>
  <c r="P10" i="8"/>
  <c r="U30" i="8"/>
  <c r="X25" i="8"/>
  <c r="L12" i="8"/>
  <c r="P5" i="8"/>
  <c r="W49" i="8"/>
  <c r="W22" i="8"/>
  <c r="AH7" i="8"/>
  <c r="O6" i="8"/>
  <c r="S58" i="7"/>
  <c r="R58" i="7"/>
  <c r="L31" i="8"/>
  <c r="U24" i="8"/>
  <c r="L10" i="8"/>
  <c r="P34" i="8"/>
  <c r="L6" i="8"/>
  <c r="W16" i="8"/>
  <c r="W20" i="11"/>
  <c r="X28" i="8"/>
  <c r="O13" i="8"/>
  <c r="AI20" i="8"/>
  <c r="AI34" i="8"/>
  <c r="AI6" i="8"/>
  <c r="AI26" i="8"/>
  <c r="AI22" i="8"/>
  <c r="AI49" i="8"/>
  <c r="AI41" i="8"/>
  <c r="AI33" i="8"/>
  <c r="AI47" i="8"/>
  <c r="AI37" i="8"/>
  <c r="AI42" i="8"/>
  <c r="AI10" i="8"/>
  <c r="AI46" i="8"/>
  <c r="AI38" i="8"/>
  <c r="AI13" i="8"/>
  <c r="AI31" i="8"/>
  <c r="AI9" i="8"/>
  <c r="AI21" i="8"/>
  <c r="AI43" i="8"/>
  <c r="AI50" i="8"/>
  <c r="AI48" i="8"/>
  <c r="AI40" i="8"/>
  <c r="AI28" i="8"/>
  <c r="AI14" i="8"/>
  <c r="AI18" i="8"/>
  <c r="AI23" i="8"/>
  <c r="AI32" i="8"/>
  <c r="AI15" i="8"/>
  <c r="AI45" i="8"/>
  <c r="AI12" i="8"/>
  <c r="AI35" i="8"/>
  <c r="AI16" i="8"/>
  <c r="AI25" i="8"/>
  <c r="AI39" i="8"/>
  <c r="AI7" i="8"/>
  <c r="AI19" i="8"/>
  <c r="AI5" i="8"/>
  <c r="AI8" i="8"/>
  <c r="AI30" i="8"/>
  <c r="AI29" i="8"/>
  <c r="AI11" i="8"/>
  <c r="AI17" i="8"/>
  <c r="AI51" i="8"/>
  <c r="AI24" i="8"/>
  <c r="AI44" i="8"/>
  <c r="AI27" i="8"/>
  <c r="AI36" i="8"/>
  <c r="W37" i="11"/>
  <c r="U35" i="8"/>
  <c r="X42" i="8"/>
  <c r="X15" i="8"/>
  <c r="O31" i="8"/>
  <c r="T18" i="12"/>
  <c r="T18" i="13"/>
  <c r="L13" i="8"/>
  <c r="W21" i="11"/>
  <c r="W33" i="8"/>
  <c r="AH44" i="8"/>
  <c r="X35" i="8"/>
  <c r="T23" i="13"/>
  <c r="T23" i="12"/>
  <c r="V18" i="12"/>
  <c r="V18" i="13"/>
  <c r="M20" i="9"/>
  <c r="AA37" i="11"/>
  <c r="Z37" i="12"/>
  <c r="AA37" i="12" s="1"/>
  <c r="Z37" i="13"/>
  <c r="AA37" i="13" s="1"/>
  <c r="O41" i="12"/>
  <c r="O41" i="13"/>
  <c r="V11" i="9"/>
  <c r="M31" i="9"/>
  <c r="M17" i="9"/>
  <c r="P8" i="12"/>
  <c r="P8" i="13"/>
  <c r="N56" i="9"/>
  <c r="N56" i="7"/>
  <c r="N56" i="8"/>
  <c r="Q51" i="8"/>
  <c r="Q5" i="8"/>
  <c r="Q45" i="8"/>
  <c r="Q30" i="8"/>
  <c r="V36" i="12"/>
  <c r="V36" i="13"/>
  <c r="V41" i="12"/>
  <c r="V41" i="13"/>
  <c r="V38" i="12"/>
  <c r="V38" i="13"/>
  <c r="V35" i="12"/>
  <c r="V35" i="13"/>
  <c r="V10" i="12"/>
  <c r="V10" i="13"/>
  <c r="M5" i="9"/>
  <c r="M53" i="7"/>
  <c r="M58" i="7" s="1"/>
  <c r="M45" i="8" s="1"/>
  <c r="Q31" i="8"/>
  <c r="AA25" i="11"/>
  <c r="Z25" i="12"/>
  <c r="AA25" i="12" s="1"/>
  <c r="Z25" i="13"/>
  <c r="AA25" i="13" s="1"/>
  <c r="AA36" i="11"/>
  <c r="Z36" i="12"/>
  <c r="AA36" i="12" s="1"/>
  <c r="Z36" i="13"/>
  <c r="AA36" i="13" s="1"/>
  <c r="AA20" i="11"/>
  <c r="Z20" i="12"/>
  <c r="AA20" i="12" s="1"/>
  <c r="Z20" i="13"/>
  <c r="AA20" i="13" s="1"/>
  <c r="AA39" i="11"/>
  <c r="Z39" i="12"/>
  <c r="AA39" i="12" s="1"/>
  <c r="Z39" i="13"/>
  <c r="AA39" i="13" s="1"/>
  <c r="AA9" i="11"/>
  <c r="Z9" i="12"/>
  <c r="AA9" i="12" s="1"/>
  <c r="Z9" i="13"/>
  <c r="AA9" i="13" s="1"/>
  <c r="O37" i="12"/>
  <c r="O37" i="13"/>
  <c r="O38" i="12"/>
  <c r="O38" i="13"/>
  <c r="O39" i="12"/>
  <c r="O39" i="13"/>
  <c r="O23" i="13"/>
  <c r="O23" i="12"/>
  <c r="O10" i="12"/>
  <c r="O10" i="13"/>
  <c r="V23" i="9"/>
  <c r="V16" i="9"/>
  <c r="V29" i="9"/>
  <c r="V30" i="9"/>
  <c r="V39" i="9"/>
  <c r="L38" i="8"/>
  <c r="M32" i="9"/>
  <c r="P13" i="8"/>
  <c r="W10" i="11"/>
  <c r="M13" i="9"/>
  <c r="U41" i="12"/>
  <c r="W41" i="12" s="1"/>
  <c r="U41" i="13"/>
  <c r="U36" i="12"/>
  <c r="U36" i="13"/>
  <c r="U38" i="12"/>
  <c r="W38" i="12" s="1"/>
  <c r="U38" i="13"/>
  <c r="W38" i="13" s="1"/>
  <c r="U9" i="12"/>
  <c r="U9" i="13"/>
  <c r="Q46" i="8"/>
  <c r="W39" i="8"/>
  <c r="AC46" i="8"/>
  <c r="AD46" i="8" s="1"/>
  <c r="AC24" i="8"/>
  <c r="AD24" i="8" s="1"/>
  <c r="Q29" i="8"/>
  <c r="Q48" i="8"/>
  <c r="L7" i="8"/>
  <c r="P32" i="12"/>
  <c r="P32" i="13"/>
  <c r="P16" i="12"/>
  <c r="P16" i="13"/>
  <c r="P39" i="12"/>
  <c r="P39" i="13"/>
  <c r="P33" i="12"/>
  <c r="P33" i="13"/>
  <c r="AC27" i="8"/>
  <c r="AD27" i="8" s="1"/>
  <c r="M47" i="9"/>
  <c r="AH42" i="8"/>
  <c r="AC21" i="8"/>
  <c r="AD21" i="8" s="1"/>
  <c r="U11" i="8"/>
  <c r="L27" i="8"/>
  <c r="O35" i="8"/>
  <c r="W46" i="8"/>
  <c r="W23" i="8"/>
  <c r="P6" i="8"/>
  <c r="T43" i="13"/>
  <c r="V8" i="12"/>
  <c r="V8" i="13"/>
  <c r="AA16" i="11"/>
  <c r="Z16" i="12"/>
  <c r="AA16" i="12" s="1"/>
  <c r="Z16" i="13"/>
  <c r="AA16" i="13" s="1"/>
  <c r="O7" i="12"/>
  <c r="O7" i="13"/>
  <c r="V42" i="9"/>
  <c r="U37" i="12"/>
  <c r="U37" i="13"/>
  <c r="W8" i="11"/>
  <c r="P36" i="12"/>
  <c r="P36" i="13"/>
  <c r="P37" i="12"/>
  <c r="P37" i="13"/>
  <c r="P26" i="12"/>
  <c r="P26" i="13"/>
  <c r="M37" i="9"/>
  <c r="M51" i="9"/>
  <c r="L40" i="8"/>
  <c r="M26" i="9"/>
  <c r="M30" i="9"/>
  <c r="M35" i="9"/>
  <c r="L8" i="8"/>
  <c r="L37" i="8"/>
  <c r="V34" i="12"/>
  <c r="V34" i="13"/>
  <c r="V40" i="12"/>
  <c r="V40" i="13"/>
  <c r="V25" i="12"/>
  <c r="V25" i="13"/>
  <c r="V20" i="12"/>
  <c r="V20" i="13"/>
  <c r="V7" i="12"/>
  <c r="V7" i="13"/>
  <c r="M15" i="9"/>
  <c r="U53" i="9"/>
  <c r="L22" i="8"/>
  <c r="P42" i="8"/>
  <c r="P36" i="8"/>
  <c r="P11" i="8"/>
  <c r="P48" i="8"/>
  <c r="AA27" i="11"/>
  <c r="Z27" i="12"/>
  <c r="AA27" i="12" s="1"/>
  <c r="Z27" i="13"/>
  <c r="AA27" i="13" s="1"/>
  <c r="AA35" i="11"/>
  <c r="Z35" i="12"/>
  <c r="AA35" i="12" s="1"/>
  <c r="Z35" i="13"/>
  <c r="AA35" i="13" s="1"/>
  <c r="AA41" i="11"/>
  <c r="Z41" i="12"/>
  <c r="AA41" i="12" s="1"/>
  <c r="Z41" i="13"/>
  <c r="AA41" i="13" s="1"/>
  <c r="AA13" i="11"/>
  <c r="Z13" i="12"/>
  <c r="AA13" i="12" s="1"/>
  <c r="Z13" i="13"/>
  <c r="AA13" i="13" s="1"/>
  <c r="AA6" i="11"/>
  <c r="Z6" i="12"/>
  <c r="AA6" i="12" s="1"/>
  <c r="Z6" i="13"/>
  <c r="AA6" i="13" s="1"/>
  <c r="O33" i="12"/>
  <c r="O33" i="13"/>
  <c r="O21" i="12"/>
  <c r="O21" i="13"/>
  <c r="O22" i="12"/>
  <c r="O22" i="13"/>
  <c r="O15" i="12"/>
  <c r="O15" i="13"/>
  <c r="V7" i="9"/>
  <c r="V53" i="7"/>
  <c r="V58" i="7" s="1"/>
  <c r="V11" i="8" s="1"/>
  <c r="V5" i="9"/>
  <c r="V20" i="9"/>
  <c r="V33" i="9"/>
  <c r="V34" i="9"/>
  <c r="V46" i="9"/>
  <c r="U45" i="8"/>
  <c r="Q28" i="8"/>
  <c r="Q12" i="8"/>
  <c r="L14" i="8"/>
  <c r="W36" i="11"/>
  <c r="U23" i="12"/>
  <c r="U23" i="13"/>
  <c r="W23" i="11"/>
  <c r="U35" i="12"/>
  <c r="U35" i="13"/>
  <c r="U24" i="12"/>
  <c r="U24" i="13"/>
  <c r="U21" i="12"/>
  <c r="U21" i="13"/>
  <c r="U5" i="12"/>
  <c r="U5" i="13"/>
  <c r="U43" i="11"/>
  <c r="Y9" i="7"/>
  <c r="Y19" i="7"/>
  <c r="Y15" i="7"/>
  <c r="Y5" i="7"/>
  <c r="Y11" i="7"/>
  <c r="AB11" i="7" s="1"/>
  <c r="Y8" i="7"/>
  <c r="Y18" i="7"/>
  <c r="Y14" i="7"/>
  <c r="Y7" i="7"/>
  <c r="AB7" i="7" s="1"/>
  <c r="Y25" i="7"/>
  <c r="Y17" i="7"/>
  <c r="Y13" i="7"/>
  <c r="Y10" i="7"/>
  <c r="Y6" i="7"/>
  <c r="Y20" i="7"/>
  <c r="AB20" i="7" s="1"/>
  <c r="Y16" i="7"/>
  <c r="Y12" i="7"/>
  <c r="Y35" i="7"/>
  <c r="Y49" i="7"/>
  <c r="Y23" i="7"/>
  <c r="AB23" i="7" s="1"/>
  <c r="Y26" i="7"/>
  <c r="AB26" i="7" s="1"/>
  <c r="Y39" i="7"/>
  <c r="Y32" i="7"/>
  <c r="Y42" i="7"/>
  <c r="Y28" i="7"/>
  <c r="Y47" i="7"/>
  <c r="Y40" i="7"/>
  <c r="Y27" i="7"/>
  <c r="Y34" i="7"/>
  <c r="AB34" i="7" s="1"/>
  <c r="Y43" i="7"/>
  <c r="Y36" i="7"/>
  <c r="Y29" i="7"/>
  <c r="Y30" i="7"/>
  <c r="Y48" i="7"/>
  <c r="Y50" i="7"/>
  <c r="Y51" i="7"/>
  <c r="Y44" i="7"/>
  <c r="Y37" i="7"/>
  <c r="Y38" i="7"/>
  <c r="Y22" i="7"/>
  <c r="Y24" i="7"/>
  <c r="Y45" i="7"/>
  <c r="Y46" i="7"/>
  <c r="Y31" i="7"/>
  <c r="Y33" i="7"/>
  <c r="Y41" i="7"/>
  <c r="Y21" i="7"/>
  <c r="AB21" i="7" s="1"/>
  <c r="F46" i="5"/>
  <c r="Q46" i="12"/>
  <c r="Q46" i="13"/>
  <c r="Q46" i="10"/>
  <c r="Q46" i="11"/>
  <c r="AD5" i="9"/>
  <c r="AD53" i="9" s="1"/>
  <c r="AC53" i="9"/>
  <c r="U39" i="8"/>
  <c r="X53" i="9"/>
  <c r="W12" i="8"/>
  <c r="P47" i="8"/>
  <c r="P14" i="12"/>
  <c r="P14" i="13"/>
  <c r="P22" i="12"/>
  <c r="P22" i="13"/>
  <c r="P21" i="12"/>
  <c r="P21" i="13"/>
  <c r="P18" i="12"/>
  <c r="P18" i="13"/>
  <c r="AH39" i="8"/>
  <c r="X31" i="8"/>
  <c r="U40" i="8"/>
  <c r="X24" i="8"/>
  <c r="Q27" i="8"/>
  <c r="Q37" i="8"/>
  <c r="W5" i="11"/>
  <c r="O36" i="8"/>
  <c r="L49" i="8"/>
  <c r="M10" i="9"/>
  <c r="O24" i="12"/>
  <c r="O24" i="13"/>
  <c r="V26" i="9"/>
  <c r="Q33" i="8"/>
  <c r="U39" i="12"/>
  <c r="U39" i="13"/>
  <c r="P25" i="12"/>
  <c r="P25" i="13"/>
  <c r="Q50" i="8"/>
  <c r="Q32" i="8"/>
  <c r="Q39" i="8"/>
  <c r="Q6" i="8"/>
  <c r="L18" i="8"/>
  <c r="P23" i="8"/>
  <c r="M40" i="9"/>
  <c r="Q17" i="8"/>
  <c r="M29" i="9"/>
  <c r="P21" i="8"/>
  <c r="V27" i="12"/>
  <c r="V27" i="13"/>
  <c r="V31" i="12"/>
  <c r="V31" i="13"/>
  <c r="V24" i="12"/>
  <c r="V24" i="13"/>
  <c r="V12" i="12"/>
  <c r="V12" i="13"/>
  <c r="V15" i="12"/>
  <c r="V15" i="13"/>
  <c r="M9" i="9"/>
  <c r="U5" i="8"/>
  <c r="Q47" i="8"/>
  <c r="M19" i="9"/>
  <c r="W38" i="11"/>
  <c r="AA19" i="11"/>
  <c r="Z19" i="12"/>
  <c r="AA19" i="12" s="1"/>
  <c r="Z19" i="13"/>
  <c r="AA19" i="13" s="1"/>
  <c r="AA40" i="11"/>
  <c r="Z40" i="12"/>
  <c r="AA40" i="12" s="1"/>
  <c r="Z40" i="13"/>
  <c r="AA40" i="13" s="1"/>
  <c r="AA24" i="11"/>
  <c r="Z24" i="12"/>
  <c r="AA24" i="12" s="1"/>
  <c r="Z24" i="13"/>
  <c r="AA24" i="13" s="1"/>
  <c r="AA10" i="11"/>
  <c r="Z10" i="12"/>
  <c r="AA10" i="12" s="1"/>
  <c r="Z10" i="13"/>
  <c r="AA10" i="13" s="1"/>
  <c r="AA5" i="11"/>
  <c r="Z5" i="12"/>
  <c r="Z43" i="11"/>
  <c r="Z5" i="13"/>
  <c r="O32" i="12"/>
  <c r="O32" i="13"/>
  <c r="O17" i="12"/>
  <c r="O17" i="13"/>
  <c r="O28" i="12"/>
  <c r="O28" i="13"/>
  <c r="O31" i="12"/>
  <c r="O31" i="13"/>
  <c r="V14" i="9"/>
  <c r="V15" i="9"/>
  <c r="V6" i="8"/>
  <c r="V6" i="9"/>
  <c r="V37" i="9"/>
  <c r="V45" i="9"/>
  <c r="V24" i="9"/>
  <c r="M48" i="9"/>
  <c r="AB45" i="7"/>
  <c r="W17" i="8"/>
  <c r="P45" i="8"/>
  <c r="U22" i="12"/>
  <c r="U22" i="13"/>
  <c r="U40" i="12"/>
  <c r="U40" i="13"/>
  <c r="W40" i="13" s="1"/>
  <c r="U29" i="12"/>
  <c r="U29" i="13"/>
  <c r="U19" i="12"/>
  <c r="U19" i="13"/>
  <c r="U8" i="12"/>
  <c r="U8" i="13"/>
  <c r="L23" i="8"/>
  <c r="W7" i="8"/>
  <c r="AC45" i="8"/>
  <c r="AD45" i="8" s="1"/>
  <c r="M50" i="9"/>
  <c r="AD53" i="7"/>
  <c r="U16" i="8"/>
  <c r="Q25" i="8"/>
  <c r="Q43" i="8"/>
  <c r="L35" i="8"/>
  <c r="M28" i="9"/>
  <c r="W39" i="11"/>
  <c r="P38" i="12"/>
  <c r="P38" i="13"/>
  <c r="P20" i="12"/>
  <c r="P20" i="13"/>
  <c r="P35" i="12"/>
  <c r="P35" i="13"/>
  <c r="P7" i="12"/>
  <c r="P7" i="13"/>
  <c r="AC20" i="8"/>
  <c r="AD20" i="8" s="1"/>
  <c r="W11" i="8"/>
  <c r="AH5" i="8"/>
  <c r="AH29" i="8"/>
  <c r="AC6" i="8"/>
  <c r="AD6" i="8" s="1"/>
  <c r="U21" i="8"/>
  <c r="M27" i="9"/>
  <c r="L32" i="8"/>
  <c r="O5" i="8"/>
  <c r="O23" i="8"/>
  <c r="W34" i="8"/>
  <c r="W43" i="8"/>
  <c r="P30" i="8"/>
  <c r="M21" i="9"/>
  <c r="S5" i="13"/>
  <c r="R43" i="13"/>
  <c r="Q7" i="8"/>
  <c r="M46" i="9"/>
  <c r="L17" i="8"/>
  <c r="V26" i="12"/>
  <c r="V26" i="13"/>
  <c r="V13" i="12"/>
  <c r="V13" i="13"/>
  <c r="V14" i="12"/>
  <c r="V14" i="13"/>
  <c r="V28" i="12"/>
  <c r="V28" i="13"/>
  <c r="M16" i="9"/>
  <c r="M49" i="9"/>
  <c r="Q26" i="8"/>
  <c r="L19" i="8"/>
  <c r="O53" i="9"/>
  <c r="P17" i="8"/>
  <c r="AA17" i="11"/>
  <c r="Z17" i="12"/>
  <c r="AA17" i="12" s="1"/>
  <c r="Z17" i="13"/>
  <c r="AA17" i="13" s="1"/>
  <c r="AA29" i="11"/>
  <c r="Z29" i="12"/>
  <c r="AA29" i="12" s="1"/>
  <c r="Z29" i="13"/>
  <c r="AA29" i="13" s="1"/>
  <c r="AA22" i="11"/>
  <c r="Z22" i="12"/>
  <c r="AA22" i="12" s="1"/>
  <c r="Z22" i="13"/>
  <c r="AA22" i="13" s="1"/>
  <c r="AA26" i="11"/>
  <c r="Z26" i="12"/>
  <c r="AA26" i="12" s="1"/>
  <c r="Z26" i="13"/>
  <c r="AA26" i="13" s="1"/>
  <c r="AA8" i="11"/>
  <c r="Z8" i="12"/>
  <c r="AA8" i="12" s="1"/>
  <c r="Z8" i="13"/>
  <c r="AA8" i="13" s="1"/>
  <c r="O14" i="12"/>
  <c r="O14" i="13"/>
  <c r="O16" i="12"/>
  <c r="O16" i="13"/>
  <c r="O18" i="12"/>
  <c r="O18" i="13"/>
  <c r="O35" i="12"/>
  <c r="O35" i="13"/>
  <c r="V18" i="8"/>
  <c r="V18" i="9"/>
  <c r="V19" i="8"/>
  <c r="V19" i="9"/>
  <c r="V10" i="8"/>
  <c r="V10" i="9"/>
  <c r="V44" i="9"/>
  <c r="V38" i="8"/>
  <c r="V38" i="9"/>
  <c r="V28" i="8"/>
  <c r="V28" i="9"/>
  <c r="U25" i="8"/>
  <c r="Q14" i="8"/>
  <c r="Q44" i="8"/>
  <c r="L41" i="8"/>
  <c r="M11" i="9"/>
  <c r="W13" i="11"/>
  <c r="U34" i="12"/>
  <c r="U34" i="13"/>
  <c r="W34" i="13" s="1"/>
  <c r="U28" i="12"/>
  <c r="U28" i="13"/>
  <c r="U11" i="12"/>
  <c r="U11" i="13"/>
  <c r="U31" i="12"/>
  <c r="U31" i="13"/>
  <c r="W31" i="13" s="1"/>
  <c r="U10" i="12"/>
  <c r="U10" i="13"/>
  <c r="U26" i="8"/>
  <c r="AC5" i="8"/>
  <c r="AC38" i="8"/>
  <c r="AD38" i="8" s="1"/>
  <c r="AB16" i="7"/>
  <c r="M39" i="9"/>
  <c r="M33" i="9"/>
  <c r="W50" i="8"/>
  <c r="P9" i="8"/>
  <c r="P46" i="8"/>
  <c r="P41" i="12"/>
  <c r="P41" i="13"/>
  <c r="P17" i="12"/>
  <c r="P17" i="13"/>
  <c r="P13" i="12"/>
  <c r="P13" i="13"/>
  <c r="P31" i="12"/>
  <c r="P31" i="13"/>
  <c r="P15" i="12"/>
  <c r="P15" i="13"/>
  <c r="AC32" i="8"/>
  <c r="AD32" i="8" s="1"/>
  <c r="AC26" i="8"/>
  <c r="AD26" i="8" s="1"/>
  <c r="Q21" i="8"/>
  <c r="M7" i="9"/>
  <c r="W40" i="11"/>
  <c r="O29" i="8"/>
  <c r="S43" i="13"/>
  <c r="V29" i="12"/>
  <c r="V29" i="13"/>
  <c r="O26" i="12"/>
  <c r="O26" i="13"/>
  <c r="V25" i="8"/>
  <c r="V25" i="9"/>
  <c r="U18" i="12"/>
  <c r="U18" i="13"/>
  <c r="W18" i="13" s="1"/>
  <c r="W18" i="11"/>
  <c r="M22" i="9"/>
  <c r="AH53" i="9"/>
  <c r="Q42" i="8"/>
  <c r="L30" i="8"/>
  <c r="S43" i="11"/>
  <c r="Q13" i="8"/>
  <c r="Q8" i="8"/>
  <c r="Q40" i="8"/>
  <c r="W53" i="9"/>
  <c r="P12" i="8"/>
  <c r="W29" i="11"/>
  <c r="V22" i="12"/>
  <c r="V22" i="13"/>
  <c r="V33" i="12"/>
  <c r="V33" i="13"/>
  <c r="V21" i="12"/>
  <c r="V21" i="13"/>
  <c r="V6" i="12"/>
  <c r="V6" i="13"/>
  <c r="M6" i="9"/>
  <c r="U22" i="8"/>
  <c r="Q22" i="8"/>
  <c r="Q35" i="8"/>
  <c r="W7" i="11"/>
  <c r="AA23" i="11"/>
  <c r="Z23" i="12"/>
  <c r="AA23" i="12" s="1"/>
  <c r="Z23" i="13"/>
  <c r="AA23" i="13" s="1"/>
  <c r="AA28" i="11"/>
  <c r="Z28" i="12"/>
  <c r="AA28" i="12" s="1"/>
  <c r="Z28" i="13"/>
  <c r="AA28" i="13" s="1"/>
  <c r="AA12" i="11"/>
  <c r="Z12" i="12"/>
  <c r="AA12" i="12" s="1"/>
  <c r="Z12" i="13"/>
  <c r="AA12" i="13" s="1"/>
  <c r="AA38" i="11"/>
  <c r="Z38" i="12"/>
  <c r="AA38" i="12" s="1"/>
  <c r="Z38" i="13"/>
  <c r="AA38" i="13" s="1"/>
  <c r="O11" i="12"/>
  <c r="O11" i="13"/>
  <c r="O29" i="12"/>
  <c r="O29" i="13"/>
  <c r="O30" i="12"/>
  <c r="O30" i="13"/>
  <c r="O40" i="12"/>
  <c r="O40" i="13"/>
  <c r="O6" i="12"/>
  <c r="O6" i="13"/>
  <c r="V22" i="8"/>
  <c r="V22" i="9"/>
  <c r="V27" i="8"/>
  <c r="V27" i="9"/>
  <c r="V13" i="8"/>
  <c r="V13" i="9"/>
  <c r="V51" i="8"/>
  <c r="V51" i="9"/>
  <c r="V49" i="8"/>
  <c r="V49" i="9"/>
  <c r="V32" i="8"/>
  <c r="V32" i="9"/>
  <c r="U9" i="8"/>
  <c r="M41" i="9"/>
  <c r="M44" i="9"/>
  <c r="M38" i="8"/>
  <c r="M38" i="9"/>
  <c r="P24" i="8"/>
  <c r="P51" i="8"/>
  <c r="U14" i="12"/>
  <c r="U14" i="13"/>
  <c r="U33" i="12"/>
  <c r="U33" i="13"/>
  <c r="U27" i="12"/>
  <c r="W27" i="12" s="1"/>
  <c r="U27" i="13"/>
  <c r="W27" i="13" s="1"/>
  <c r="U30" i="12"/>
  <c r="U30" i="13"/>
  <c r="U7" i="12"/>
  <c r="U7" i="13"/>
  <c r="W7" i="13" s="1"/>
  <c r="L44" i="8"/>
  <c r="P14" i="8"/>
  <c r="U34" i="8"/>
  <c r="Q11" i="8"/>
  <c r="L28" i="8"/>
  <c r="L11" i="8"/>
  <c r="M42" i="9"/>
  <c r="P23" i="12"/>
  <c r="P23" i="13"/>
  <c r="P24" i="12"/>
  <c r="P24" i="13"/>
  <c r="P11" i="12"/>
  <c r="P11" i="13"/>
  <c r="P12" i="12"/>
  <c r="P12" i="13"/>
  <c r="P6" i="12"/>
  <c r="P6" i="13"/>
  <c r="P41" i="8"/>
  <c r="AH47" i="8"/>
  <c r="AH51" i="8"/>
  <c r="U42" i="8"/>
  <c r="X5" i="8"/>
  <c r="L24" i="8"/>
  <c r="L42" i="8"/>
  <c r="O10" i="8"/>
  <c r="W29" i="8"/>
  <c r="P25" i="8"/>
  <c r="P32" i="8"/>
  <c r="N55" i="9"/>
  <c r="N55" i="8"/>
  <c r="N55" i="7"/>
  <c r="AB44" i="12"/>
  <c r="AB44" i="13"/>
  <c r="AB44" i="11"/>
  <c r="AB44" i="10"/>
  <c r="V39" i="12"/>
  <c r="W39" i="12" s="1"/>
  <c r="V39" i="13"/>
  <c r="AA31" i="11"/>
  <c r="Z31" i="12"/>
  <c r="AA31" i="12" s="1"/>
  <c r="Z31" i="13"/>
  <c r="AA31" i="13" s="1"/>
  <c r="AA15" i="11"/>
  <c r="Z15" i="12"/>
  <c r="AA15" i="12" s="1"/>
  <c r="Z15" i="13"/>
  <c r="AA15" i="13" s="1"/>
  <c r="O8" i="12"/>
  <c r="O8" i="13"/>
  <c r="V50" i="8"/>
  <c r="V50" i="9"/>
  <c r="U25" i="12"/>
  <c r="U25" i="13"/>
  <c r="Q15" i="8"/>
  <c r="Q36" i="8"/>
  <c r="M43" i="9"/>
  <c r="Q45" i="12"/>
  <c r="Q45" i="13"/>
  <c r="Q45" i="10"/>
  <c r="Q45" i="11"/>
  <c r="L45" i="8"/>
  <c r="M8" i="9"/>
  <c r="Q23" i="8"/>
  <c r="M34" i="9"/>
  <c r="S5" i="12"/>
  <c r="S43" i="12" s="1"/>
  <c r="R43" i="12"/>
  <c r="M25" i="9"/>
  <c r="M24" i="9"/>
  <c r="L48" i="8"/>
  <c r="P29" i="8"/>
  <c r="V19" i="12"/>
  <c r="W19" i="12" s="1"/>
  <c r="V19" i="13"/>
  <c r="V32" i="12"/>
  <c r="V32" i="13"/>
  <c r="V17" i="12"/>
  <c r="V17" i="13"/>
  <c r="V9" i="12"/>
  <c r="V9" i="13"/>
  <c r="U28" i="8"/>
  <c r="M36" i="8"/>
  <c r="M36" i="9"/>
  <c r="L34" i="8"/>
  <c r="P44" i="8"/>
  <c r="W19" i="11"/>
  <c r="AA34" i="11"/>
  <c r="Z34" i="12"/>
  <c r="AA34" i="12" s="1"/>
  <c r="Z34" i="13"/>
  <c r="AA34" i="13" s="1"/>
  <c r="AA32" i="11"/>
  <c r="Z32" i="12"/>
  <c r="AA32" i="12" s="1"/>
  <c r="Z32" i="13"/>
  <c r="AA32" i="13" s="1"/>
  <c r="AA11" i="11"/>
  <c r="Z11" i="12"/>
  <c r="AA11" i="12" s="1"/>
  <c r="Z11" i="13"/>
  <c r="AA11" i="13" s="1"/>
  <c r="AA18" i="11"/>
  <c r="Z18" i="12"/>
  <c r="AA18" i="12" s="1"/>
  <c r="Z18" i="13"/>
  <c r="AA18" i="13" s="1"/>
  <c r="O27" i="12"/>
  <c r="O27" i="13"/>
  <c r="O25" i="12"/>
  <c r="O25" i="13"/>
  <c r="O12" i="12"/>
  <c r="O12" i="13"/>
  <c r="O13" i="12"/>
  <c r="O13" i="13"/>
  <c r="O9" i="12"/>
  <c r="O9" i="13"/>
  <c r="V40" i="8"/>
  <c r="V40" i="9"/>
  <c r="V9" i="8"/>
  <c r="V9" i="9"/>
  <c r="V17" i="8"/>
  <c r="V17" i="9"/>
  <c r="V41" i="8"/>
  <c r="V41" i="9"/>
  <c r="V31" i="8"/>
  <c r="V31" i="9"/>
  <c r="V36" i="8"/>
  <c r="V36" i="9"/>
  <c r="U7" i="8"/>
  <c r="Q34" i="8"/>
  <c r="M23" i="9"/>
  <c r="L51" i="8"/>
  <c r="Q19" i="8"/>
  <c r="M12" i="9"/>
  <c r="W24" i="12"/>
  <c r="M43" i="13"/>
  <c r="U13" i="12"/>
  <c r="W13" i="12" s="1"/>
  <c r="U13" i="13"/>
  <c r="U32" i="12"/>
  <c r="U32" i="13"/>
  <c r="U17" i="12"/>
  <c r="U17" i="13"/>
  <c r="U12" i="12"/>
  <c r="U12" i="13"/>
  <c r="W12" i="13" s="1"/>
  <c r="U15" i="12"/>
  <c r="U15" i="13"/>
  <c r="AC48" i="8"/>
  <c r="AD48" i="8" s="1"/>
  <c r="W45" i="8"/>
  <c r="W14" i="8"/>
  <c r="P22" i="8"/>
  <c r="P40" i="12"/>
  <c r="P40" i="13"/>
  <c r="P30" i="12"/>
  <c r="P30" i="13"/>
  <c r="P29" i="12"/>
  <c r="P29" i="13"/>
  <c r="P27" i="12"/>
  <c r="P27" i="13"/>
  <c r="P9" i="12"/>
  <c r="P9" i="13"/>
  <c r="AH35" i="8"/>
  <c r="L47" i="8"/>
  <c r="L47" i="10"/>
  <c r="L47" i="12" s="1"/>
  <c r="AC8" i="8"/>
  <c r="AD8" i="8" s="1"/>
  <c r="AB42" i="7"/>
  <c r="X30" i="8"/>
  <c r="Q20" i="8"/>
  <c r="M18" i="9"/>
  <c r="W34" i="11"/>
  <c r="U8" i="8"/>
  <c r="W28" i="8"/>
  <c r="Q18" i="8"/>
  <c r="V30" i="12"/>
  <c r="V30" i="13"/>
  <c r="AA21" i="11"/>
  <c r="Z21" i="12"/>
  <c r="AA21" i="12" s="1"/>
  <c r="Z21" i="13"/>
  <c r="AA21" i="13" s="1"/>
  <c r="V12" i="8"/>
  <c r="V12" i="9"/>
  <c r="T54" i="8"/>
  <c r="T54" i="9"/>
  <c r="T54" i="7"/>
  <c r="Q10" i="8"/>
  <c r="Q53" i="9"/>
  <c r="Q41" i="8"/>
  <c r="Q16" i="8"/>
  <c r="P33" i="8"/>
  <c r="W25" i="11"/>
  <c r="V11" i="12"/>
  <c r="V11" i="13"/>
  <c r="V37" i="12"/>
  <c r="V37" i="13"/>
  <c r="V23" i="12"/>
  <c r="V23" i="13"/>
  <c r="V16" i="12"/>
  <c r="V16" i="13"/>
  <c r="V5" i="12"/>
  <c r="V43" i="11"/>
  <c r="V5" i="13"/>
  <c r="M14" i="9"/>
  <c r="U29" i="8"/>
  <c r="Q9" i="8"/>
  <c r="AA14" i="11"/>
  <c r="Z14" i="12"/>
  <c r="AA14" i="12" s="1"/>
  <c r="Z14" i="13"/>
  <c r="AA14" i="13" s="1"/>
  <c r="AA30" i="11"/>
  <c r="Z30" i="12"/>
  <c r="AA30" i="12" s="1"/>
  <c r="Z30" i="13"/>
  <c r="AA30" i="13" s="1"/>
  <c r="AA33" i="11"/>
  <c r="Z33" i="12"/>
  <c r="AA33" i="12" s="1"/>
  <c r="Z33" i="13"/>
  <c r="AA33" i="13" s="1"/>
  <c r="AA7" i="11"/>
  <c r="Z7" i="12"/>
  <c r="AA7" i="12" s="1"/>
  <c r="Z7" i="13"/>
  <c r="AA7" i="13" s="1"/>
  <c r="O19" i="12"/>
  <c r="O19" i="13"/>
  <c r="O34" i="12"/>
  <c r="O34" i="13"/>
  <c r="O36" i="12"/>
  <c r="O36" i="13"/>
  <c r="O20" i="12"/>
  <c r="O20" i="13"/>
  <c r="O5" i="12"/>
  <c r="O5" i="13"/>
  <c r="O43" i="11"/>
  <c r="V8" i="8"/>
  <c r="V8" i="9"/>
  <c r="V47" i="8"/>
  <c r="V47" i="9"/>
  <c r="V21" i="8"/>
  <c r="V21" i="9"/>
  <c r="V48" i="8"/>
  <c r="V48" i="9"/>
  <c r="V35" i="8"/>
  <c r="V35" i="9"/>
  <c r="V43" i="8"/>
  <c r="V43" i="9"/>
  <c r="Q38" i="8"/>
  <c r="U46" i="8"/>
  <c r="L53" i="9"/>
  <c r="W5" i="8"/>
  <c r="P8" i="8"/>
  <c r="W24" i="11"/>
  <c r="M43" i="12"/>
  <c r="U26" i="12"/>
  <c r="W26" i="12" s="1"/>
  <c r="U26" i="13"/>
  <c r="W26" i="13" s="1"/>
  <c r="U20" i="12"/>
  <c r="U20" i="13"/>
  <c r="U16" i="12"/>
  <c r="U16" i="13"/>
  <c r="U6" i="12"/>
  <c r="W6" i="12" s="1"/>
  <c r="U6" i="13"/>
  <c r="AC13" i="8"/>
  <c r="AD13" i="8" s="1"/>
  <c r="U47" i="8"/>
  <c r="U23" i="8"/>
  <c r="Q24" i="8"/>
  <c r="L16" i="8"/>
  <c r="L36" i="8"/>
  <c r="P53" i="9"/>
  <c r="P19" i="12"/>
  <c r="P19" i="13"/>
  <c r="P28" i="12"/>
  <c r="P28" i="13"/>
  <c r="P34" i="12"/>
  <c r="P34" i="13"/>
  <c r="P10" i="12"/>
  <c r="P10" i="13"/>
  <c r="P5" i="12"/>
  <c r="P43" i="11"/>
  <c r="P5" i="13"/>
  <c r="AC11" i="8"/>
  <c r="AD11" i="8" s="1"/>
  <c r="AH46" i="8"/>
  <c r="AC31" i="8"/>
  <c r="AD31" i="8" s="1"/>
  <c r="L9" i="8"/>
  <c r="L25" i="8"/>
  <c r="O40" i="8"/>
  <c r="W17" i="11"/>
  <c r="P18" i="8"/>
  <c r="E10" i="5"/>
  <c r="N57" i="6"/>
  <c r="F10" i="5"/>
  <c r="F29" i="5" s="1"/>
  <c r="N58" i="6"/>
  <c r="D47" i="5"/>
  <c r="D29" i="5"/>
  <c r="F47" i="5"/>
  <c r="E42" i="5" l="1"/>
  <c r="E21" i="5"/>
  <c r="W28" i="13"/>
  <c r="W35" i="13"/>
  <c r="W34" i="12"/>
  <c r="T43" i="12"/>
  <c r="W9" i="13"/>
  <c r="M22" i="8"/>
  <c r="M49" i="8"/>
  <c r="W8" i="13"/>
  <c r="M19" i="8"/>
  <c r="M44" i="8"/>
  <c r="M33" i="8"/>
  <c r="M29" i="8"/>
  <c r="W41" i="13"/>
  <c r="M12" i="8"/>
  <c r="M34" i="8"/>
  <c r="M16" i="8"/>
  <c r="M42" i="8"/>
  <c r="M41" i="8"/>
  <c r="M39" i="8"/>
  <c r="M21" i="8"/>
  <c r="M24" i="8"/>
  <c r="M43" i="8"/>
  <c r="M6" i="8"/>
  <c r="M11" i="8"/>
  <c r="M27" i="8"/>
  <c r="M50" i="8"/>
  <c r="M9" i="8"/>
  <c r="M40" i="8"/>
  <c r="M10" i="8"/>
  <c r="M14" i="8"/>
  <c r="W37" i="13"/>
  <c r="W13" i="13"/>
  <c r="M8" i="8"/>
  <c r="M28" i="8"/>
  <c r="M18" i="8"/>
  <c r="M23" i="8"/>
  <c r="M25" i="8"/>
  <c r="M7" i="8"/>
  <c r="M46" i="8"/>
  <c r="M48" i="8"/>
  <c r="W17" i="12"/>
  <c r="W35" i="12"/>
  <c r="W6" i="13"/>
  <c r="W24" i="13"/>
  <c r="D52" i="5"/>
  <c r="W40" i="12"/>
  <c r="W16" i="12"/>
  <c r="W9" i="12"/>
  <c r="N43" i="13"/>
  <c r="W21" i="13"/>
  <c r="W25" i="12"/>
  <c r="M35" i="8"/>
  <c r="W25" i="13"/>
  <c r="W22" i="13"/>
  <c r="L47" i="11"/>
  <c r="W11" i="12"/>
  <c r="W14" i="13"/>
  <c r="W10" i="12"/>
  <c r="W15" i="13"/>
  <c r="W16" i="13"/>
  <c r="W30" i="12"/>
  <c r="L53" i="8"/>
  <c r="L48" i="10"/>
  <c r="W30" i="13"/>
  <c r="W31" i="12"/>
  <c r="W22" i="12"/>
  <c r="R19" i="8"/>
  <c r="R40" i="8"/>
  <c r="R45" i="8"/>
  <c r="R35" i="8"/>
  <c r="R24" i="8"/>
  <c r="R46" i="8"/>
  <c r="R8" i="8"/>
  <c r="R12" i="8"/>
  <c r="R18" i="8"/>
  <c r="R33" i="8"/>
  <c r="R13" i="8"/>
  <c r="R32" i="8"/>
  <c r="R49" i="8"/>
  <c r="R42" i="8"/>
  <c r="R14" i="8"/>
  <c r="R5" i="8"/>
  <c r="R41" i="8"/>
  <c r="R50" i="8"/>
  <c r="R21" i="8"/>
  <c r="R16" i="8"/>
  <c r="R17" i="8"/>
  <c r="R27" i="8"/>
  <c r="R38" i="8"/>
  <c r="R29" i="8"/>
  <c r="R43" i="8"/>
  <c r="R15" i="8"/>
  <c r="R30" i="8"/>
  <c r="R39" i="8"/>
  <c r="R23" i="8"/>
  <c r="R31" i="8"/>
  <c r="R22" i="8"/>
  <c r="R9" i="8"/>
  <c r="R25" i="8"/>
  <c r="R28" i="8"/>
  <c r="R51" i="8"/>
  <c r="R47" i="8"/>
  <c r="R6" i="8"/>
  <c r="R7" i="8"/>
  <c r="R37" i="8"/>
  <c r="R26" i="8"/>
  <c r="R48" i="8"/>
  <c r="R11" i="8"/>
  <c r="R44" i="8"/>
  <c r="R34" i="8"/>
  <c r="R10" i="8"/>
  <c r="R20" i="8"/>
  <c r="R36" i="8"/>
  <c r="W12" i="12"/>
  <c r="W11" i="13"/>
  <c r="W19" i="13"/>
  <c r="V26" i="8"/>
  <c r="V20" i="8"/>
  <c r="W8" i="12"/>
  <c r="W36" i="12"/>
  <c r="M32" i="8"/>
  <c r="S19" i="8"/>
  <c r="S5" i="8"/>
  <c r="S39" i="8"/>
  <c r="S20" i="8"/>
  <c r="S11" i="8"/>
  <c r="S48" i="8"/>
  <c r="S24" i="8"/>
  <c r="S41" i="8"/>
  <c r="S18" i="8"/>
  <c r="S22" i="8"/>
  <c r="S14" i="8"/>
  <c r="S42" i="8"/>
  <c r="S34" i="8"/>
  <c r="S37" i="8"/>
  <c r="S32" i="8"/>
  <c r="S30" i="8"/>
  <c r="S28" i="8"/>
  <c r="S27" i="8"/>
  <c r="S13" i="8"/>
  <c r="S38" i="8"/>
  <c r="S25" i="8"/>
  <c r="S40" i="8"/>
  <c r="S15" i="8"/>
  <c r="S33" i="8"/>
  <c r="S47" i="8"/>
  <c r="S29" i="8"/>
  <c r="S23" i="8"/>
  <c r="S17" i="8"/>
  <c r="S10" i="8"/>
  <c r="S26" i="8"/>
  <c r="S21" i="8"/>
  <c r="S6" i="8"/>
  <c r="S45" i="8"/>
  <c r="S9" i="8"/>
  <c r="S43" i="8"/>
  <c r="S31" i="8"/>
  <c r="S50" i="8"/>
  <c r="S8" i="8"/>
  <c r="S36" i="8"/>
  <c r="S44" i="8"/>
  <c r="S51" i="8"/>
  <c r="S49" i="8"/>
  <c r="S7" i="8"/>
  <c r="S46" i="8"/>
  <c r="S35" i="8"/>
  <c r="S16" i="8"/>
  <c r="S12" i="8"/>
  <c r="AI53" i="8"/>
  <c r="W29" i="13"/>
  <c r="V43" i="12"/>
  <c r="P53" i="8"/>
  <c r="W32" i="13"/>
  <c r="W17" i="13"/>
  <c r="W33" i="13"/>
  <c r="W28" i="12"/>
  <c r="V44" i="8"/>
  <c r="W5" i="13"/>
  <c r="M15" i="8"/>
  <c r="W10" i="13"/>
  <c r="W36" i="13"/>
  <c r="W53" i="8"/>
  <c r="W32" i="12"/>
  <c r="X53" i="8"/>
  <c r="W33" i="12"/>
  <c r="W14" i="12"/>
  <c r="W39" i="13"/>
  <c r="W23" i="13"/>
  <c r="V46" i="8"/>
  <c r="M26" i="8"/>
  <c r="M13" i="8"/>
  <c r="W20" i="13"/>
  <c r="V43" i="13"/>
  <c r="V45" i="8"/>
  <c r="V14" i="8"/>
  <c r="Y33" i="9"/>
  <c r="AB33" i="9" s="1"/>
  <c r="AB33" i="7"/>
  <c r="Y44" i="9"/>
  <c r="AB44" i="9" s="1"/>
  <c r="Y34" i="9"/>
  <c r="AB34" i="9" s="1"/>
  <c r="Y26" i="9"/>
  <c r="AB26" i="9" s="1"/>
  <c r="Y10" i="9"/>
  <c r="AB10" i="9" s="1"/>
  <c r="AB10" i="7"/>
  <c r="Y11" i="9"/>
  <c r="AB11" i="9" s="1"/>
  <c r="W23" i="12"/>
  <c r="M51" i="8"/>
  <c r="V42" i="8"/>
  <c r="V39" i="8"/>
  <c r="V23" i="8"/>
  <c r="Y6" i="9"/>
  <c r="AB6" i="9" s="1"/>
  <c r="AB6" i="7"/>
  <c r="AM58" i="6"/>
  <c r="AM56" i="9"/>
  <c r="AM56" i="8"/>
  <c r="AM56" i="7"/>
  <c r="W18" i="12"/>
  <c r="AC53" i="8"/>
  <c r="AD5" i="8"/>
  <c r="AD53" i="8" s="1"/>
  <c r="AA5" i="13"/>
  <c r="AA43" i="13" s="1"/>
  <c r="Z43" i="13"/>
  <c r="Y31" i="9"/>
  <c r="AB31" i="9" s="1"/>
  <c r="AB31" i="7"/>
  <c r="Y51" i="9"/>
  <c r="AB51" i="9" s="1"/>
  <c r="AB51" i="7"/>
  <c r="Y27" i="9"/>
  <c r="AB27" i="9" s="1"/>
  <c r="AB27" i="7"/>
  <c r="Y23" i="9"/>
  <c r="AB23" i="9" s="1"/>
  <c r="Y13" i="9"/>
  <c r="AB13" i="9" s="1"/>
  <c r="AB13" i="7"/>
  <c r="Y5" i="9"/>
  <c r="Y53" i="7"/>
  <c r="Y58" i="7" s="1"/>
  <c r="Y33" i="8" s="1"/>
  <c r="AB5" i="7"/>
  <c r="W21" i="12"/>
  <c r="W7" i="12"/>
  <c r="O43" i="13"/>
  <c r="Q53" i="8"/>
  <c r="W5" i="12"/>
  <c r="Y37" i="9"/>
  <c r="AB37" i="9" s="1"/>
  <c r="AB37" i="7"/>
  <c r="O43" i="12"/>
  <c r="X48" i="12"/>
  <c r="P43" i="13"/>
  <c r="W29" i="12"/>
  <c r="V37" i="8"/>
  <c r="W15" i="12"/>
  <c r="Y46" i="9"/>
  <c r="AB46" i="9" s="1"/>
  <c r="AB46" i="7"/>
  <c r="Y50" i="9"/>
  <c r="AB50" i="9" s="1"/>
  <c r="Y40" i="9"/>
  <c r="AB40" i="9" s="1"/>
  <c r="Y49" i="9"/>
  <c r="AB49" i="9" s="1"/>
  <c r="AB49" i="7"/>
  <c r="Y17" i="9"/>
  <c r="AB17" i="9" s="1"/>
  <c r="AB17" i="7"/>
  <c r="Y15" i="9"/>
  <c r="AB15" i="9" s="1"/>
  <c r="AB15" i="7"/>
  <c r="V5" i="8"/>
  <c r="M37" i="8"/>
  <c r="M47" i="8"/>
  <c r="V30" i="8"/>
  <c r="M17" i="8"/>
  <c r="AB44" i="7"/>
  <c r="Y39" i="9"/>
  <c r="AB39" i="9" s="1"/>
  <c r="AH53" i="8"/>
  <c r="AA5" i="12"/>
  <c r="AA43" i="12" s="1"/>
  <c r="Z43" i="12"/>
  <c r="Y45" i="9"/>
  <c r="AB45" i="9" s="1"/>
  <c r="Y48" i="9"/>
  <c r="AB48" i="9" s="1"/>
  <c r="AB48" i="7"/>
  <c r="Y47" i="9"/>
  <c r="AB47" i="9" s="1"/>
  <c r="AB47" i="7"/>
  <c r="Y35" i="9"/>
  <c r="AB35" i="9" s="1"/>
  <c r="Y25" i="9"/>
  <c r="AB25" i="9" s="1"/>
  <c r="Y19" i="9"/>
  <c r="AB19" i="9" s="1"/>
  <c r="AB19" i="7"/>
  <c r="V34" i="8"/>
  <c r="W20" i="12"/>
  <c r="AB35" i="7"/>
  <c r="AB50" i="7"/>
  <c r="U43" i="12"/>
  <c r="T58" i="6"/>
  <c r="T56" i="9"/>
  <c r="T56" i="8"/>
  <c r="T56" i="7"/>
  <c r="L9" i="11"/>
  <c r="L6" i="11"/>
  <c r="L15" i="11"/>
  <c r="L7" i="11"/>
  <c r="L10" i="11"/>
  <c r="L8" i="11"/>
  <c r="L5" i="11"/>
  <c r="L22" i="11"/>
  <c r="L30" i="11"/>
  <c r="L14" i="11"/>
  <c r="L19" i="11"/>
  <c r="L36" i="11"/>
  <c r="L27" i="11"/>
  <c r="L13" i="11"/>
  <c r="L18" i="11"/>
  <c r="L40" i="11"/>
  <c r="L35" i="11"/>
  <c r="L16" i="11"/>
  <c r="L26" i="11"/>
  <c r="L12" i="11"/>
  <c r="L24" i="11"/>
  <c r="L34" i="11"/>
  <c r="L21" i="11"/>
  <c r="L32" i="11"/>
  <c r="L39" i="11"/>
  <c r="L11" i="11"/>
  <c r="L29" i="11"/>
  <c r="L23" i="11"/>
  <c r="L20" i="11"/>
  <c r="L37" i="11"/>
  <c r="L31" i="11"/>
  <c r="L25" i="11"/>
  <c r="L41" i="11"/>
  <c r="L28" i="11"/>
  <c r="L33" i="11"/>
  <c r="L38" i="11"/>
  <c r="L17" i="11"/>
  <c r="O53" i="8"/>
  <c r="AA43" i="11"/>
  <c r="Y24" i="9"/>
  <c r="AB24" i="9" s="1"/>
  <c r="AB24" i="7"/>
  <c r="Y30" i="9"/>
  <c r="AB30" i="9" s="1"/>
  <c r="Y28" i="9"/>
  <c r="AB28" i="9" s="1"/>
  <c r="AB28" i="7"/>
  <c r="Y12" i="9"/>
  <c r="AB12" i="9" s="1"/>
  <c r="Y7" i="9"/>
  <c r="AB7" i="9" s="1"/>
  <c r="Y9" i="9"/>
  <c r="AB9" i="9" s="1"/>
  <c r="V7" i="8"/>
  <c r="AB30" i="7"/>
  <c r="V29" i="8"/>
  <c r="M31" i="8"/>
  <c r="W43" i="11"/>
  <c r="Y41" i="9"/>
  <c r="AB41" i="9" s="1"/>
  <c r="AB41" i="7"/>
  <c r="Y8" i="9"/>
  <c r="AB8" i="9" s="1"/>
  <c r="AB8" i="7"/>
  <c r="AM56" i="6"/>
  <c r="AM54" i="9"/>
  <c r="AM54" i="7"/>
  <c r="AM54" i="8" s="1"/>
  <c r="AB39" i="7"/>
  <c r="AB46" i="13"/>
  <c r="AB46" i="12"/>
  <c r="AB46" i="10"/>
  <c r="AB46" i="11"/>
  <c r="AB22" i="7"/>
  <c r="Y29" i="9"/>
  <c r="AB29" i="9" s="1"/>
  <c r="AB29" i="7"/>
  <c r="Y42" i="9"/>
  <c r="AB42" i="9" s="1"/>
  <c r="Y16" i="9"/>
  <c r="AB16" i="9" s="1"/>
  <c r="Y14" i="9"/>
  <c r="AB14" i="9" s="1"/>
  <c r="AB14" i="7"/>
  <c r="V33" i="8"/>
  <c r="M30" i="8"/>
  <c r="W37" i="12"/>
  <c r="Y22" i="9"/>
  <c r="AB22" i="9" s="1"/>
  <c r="M53" i="9"/>
  <c r="M20" i="8"/>
  <c r="AB9" i="7"/>
  <c r="AB25" i="7"/>
  <c r="Y43" i="9"/>
  <c r="AB43" i="9" s="1"/>
  <c r="AB43" i="7"/>
  <c r="T57" i="6"/>
  <c r="T55" i="9"/>
  <c r="T55" i="8"/>
  <c r="T55" i="7"/>
  <c r="P43" i="12"/>
  <c r="V53" i="9"/>
  <c r="V24" i="8"/>
  <c r="V15" i="8"/>
  <c r="U53" i="8"/>
  <c r="Y21" i="9"/>
  <c r="AB21" i="9" s="1"/>
  <c r="Y38" i="9"/>
  <c r="AB38" i="9" s="1"/>
  <c r="AB38" i="7"/>
  <c r="Y36" i="9"/>
  <c r="AB36" i="9" s="1"/>
  <c r="AB36" i="7"/>
  <c r="Y32" i="9"/>
  <c r="AB32" i="9" s="1"/>
  <c r="AB32" i="7"/>
  <c r="Y20" i="9"/>
  <c r="AB20" i="9" s="1"/>
  <c r="Y18" i="9"/>
  <c r="AB18" i="9" s="1"/>
  <c r="AB18" i="7"/>
  <c r="U43" i="13"/>
  <c r="V16" i="8"/>
  <c r="M5" i="8"/>
  <c r="AB40" i="7"/>
  <c r="AB12" i="7"/>
  <c r="Y45" i="8" l="1"/>
  <c r="AB45" i="8" s="1"/>
  <c r="Y14" i="8"/>
  <c r="Y21" i="8"/>
  <c r="AB21" i="8" s="1"/>
  <c r="Y32" i="8"/>
  <c r="AB32" i="8" s="1"/>
  <c r="Y43" i="8"/>
  <c r="AB43" i="8" s="1"/>
  <c r="Y29" i="8"/>
  <c r="Y20" i="8"/>
  <c r="AB20" i="8" s="1"/>
  <c r="Y38" i="8"/>
  <c r="AB38" i="8" s="1"/>
  <c r="Y22" i="8"/>
  <c r="AB22" i="8" s="1"/>
  <c r="Y19" i="8"/>
  <c r="AB19" i="8" s="1"/>
  <c r="Y30" i="8"/>
  <c r="AB30" i="8" s="1"/>
  <c r="Y35" i="8"/>
  <c r="AB35" i="8" s="1"/>
  <c r="Y9" i="8"/>
  <c r="AB9" i="8" s="1"/>
  <c r="Y41" i="8"/>
  <c r="AB41" i="8" s="1"/>
  <c r="Y12" i="8"/>
  <c r="AB12" i="8" s="1"/>
  <c r="Y24" i="8"/>
  <c r="AB24" i="8" s="1"/>
  <c r="W43" i="13"/>
  <c r="M53" i="8"/>
  <c r="AB29" i="8"/>
  <c r="Y42" i="8"/>
  <c r="AB42" i="8" s="1"/>
  <c r="Y8" i="8"/>
  <c r="AB8" i="8" s="1"/>
  <c r="Y28" i="8"/>
  <c r="AB28" i="8" s="1"/>
  <c r="Y17" i="8"/>
  <c r="AB17" i="8" s="1"/>
  <c r="Y46" i="8"/>
  <c r="AB46" i="8" s="1"/>
  <c r="Y26" i="8"/>
  <c r="AB26" i="8" s="1"/>
  <c r="Y47" i="8"/>
  <c r="AB47" i="8" s="1"/>
  <c r="Y51" i="8"/>
  <c r="AB51" i="8" s="1"/>
  <c r="R53" i="8"/>
  <c r="S58" i="8" s="1"/>
  <c r="S53" i="8"/>
  <c r="V53" i="8"/>
  <c r="Y49" i="8"/>
  <c r="AB49" i="8" s="1"/>
  <c r="Y18" i="8"/>
  <c r="AB18" i="8" s="1"/>
  <c r="Y36" i="8"/>
  <c r="AB36" i="8" s="1"/>
  <c r="Y16" i="8"/>
  <c r="AB16" i="8" s="1"/>
  <c r="Y7" i="8"/>
  <c r="AB7" i="8" s="1"/>
  <c r="Y13" i="8"/>
  <c r="AB13" i="8" s="1"/>
  <c r="Y25" i="8"/>
  <c r="AB25" i="8" s="1"/>
  <c r="Y48" i="8"/>
  <c r="AB48" i="8" s="1"/>
  <c r="Y39" i="8"/>
  <c r="AB39" i="8" s="1"/>
  <c r="Y50" i="8"/>
  <c r="AB50" i="8" s="1"/>
  <c r="AB14" i="8"/>
  <c r="L31" i="12"/>
  <c r="Q31" i="12" s="1"/>
  <c r="Q31" i="11"/>
  <c r="AB31" i="11" s="1"/>
  <c r="L31" i="13"/>
  <c r="Q31" i="13" s="1"/>
  <c r="L21" i="12"/>
  <c r="Q21" i="12" s="1"/>
  <c r="Q21" i="11"/>
  <c r="AB21" i="11" s="1"/>
  <c r="L21" i="13"/>
  <c r="Q21" i="13" s="1"/>
  <c r="L18" i="12"/>
  <c r="Q18" i="12" s="1"/>
  <c r="Q18" i="11"/>
  <c r="AB18" i="11" s="1"/>
  <c r="L18" i="13"/>
  <c r="Q18" i="13" s="1"/>
  <c r="L5" i="12"/>
  <c r="Q5" i="11"/>
  <c r="L43" i="11"/>
  <c r="L5" i="13"/>
  <c r="AB33" i="8"/>
  <c r="L37" i="12"/>
  <c r="Q37" i="12" s="1"/>
  <c r="Q37" i="11"/>
  <c r="AB37" i="11" s="1"/>
  <c r="L37" i="13"/>
  <c r="Q37" i="13" s="1"/>
  <c r="L34" i="12"/>
  <c r="Q34" i="12" s="1"/>
  <c r="Q34" i="11"/>
  <c r="AB34" i="11" s="1"/>
  <c r="L34" i="13"/>
  <c r="Q34" i="13" s="1"/>
  <c r="L13" i="12"/>
  <c r="Q13" i="12" s="1"/>
  <c r="Q13" i="11"/>
  <c r="AB13" i="11" s="1"/>
  <c r="L13" i="13"/>
  <c r="Q13" i="13" s="1"/>
  <c r="L8" i="12"/>
  <c r="Q8" i="12" s="1"/>
  <c r="Q8" i="11"/>
  <c r="AB8" i="11" s="1"/>
  <c r="L8" i="13"/>
  <c r="Q8" i="13" s="1"/>
  <c r="Y34" i="8"/>
  <c r="AB34" i="8" s="1"/>
  <c r="E43" i="5"/>
  <c r="X45" i="12"/>
  <c r="X45" i="13"/>
  <c r="X45" i="11"/>
  <c r="X48" i="11" s="1"/>
  <c r="X45" i="10"/>
  <c r="L17" i="12"/>
  <c r="Q17" i="12" s="1"/>
  <c r="Q17" i="11"/>
  <c r="AB17" i="11" s="1"/>
  <c r="L17" i="13"/>
  <c r="Q17" i="13" s="1"/>
  <c r="L20" i="12"/>
  <c r="Q20" i="12" s="1"/>
  <c r="Q20" i="11"/>
  <c r="AB20" i="11" s="1"/>
  <c r="L20" i="13"/>
  <c r="Q20" i="13" s="1"/>
  <c r="L24" i="12"/>
  <c r="Q24" i="12" s="1"/>
  <c r="Q24" i="11"/>
  <c r="AB24" i="11" s="1"/>
  <c r="L24" i="13"/>
  <c r="Q24" i="13" s="1"/>
  <c r="L27" i="12"/>
  <c r="Q27" i="12" s="1"/>
  <c r="Q27" i="11"/>
  <c r="AB27" i="11" s="1"/>
  <c r="L27" i="13"/>
  <c r="Q27" i="13" s="1"/>
  <c r="L10" i="12"/>
  <c r="Q10" i="12" s="1"/>
  <c r="Q10" i="11"/>
  <c r="AB10" i="11" s="1"/>
  <c r="L10" i="13"/>
  <c r="Q10" i="13" s="1"/>
  <c r="Y15" i="8"/>
  <c r="AB15" i="8" s="1"/>
  <c r="Y40" i="8"/>
  <c r="AB40" i="8" s="1"/>
  <c r="Y37" i="8"/>
  <c r="AB37" i="8" s="1"/>
  <c r="Y11" i="8"/>
  <c r="AB11" i="8" s="1"/>
  <c r="L25" i="12"/>
  <c r="Q25" i="12" s="1"/>
  <c r="Q25" i="11"/>
  <c r="AB25" i="11" s="1"/>
  <c r="L25" i="13"/>
  <c r="Q25" i="13" s="1"/>
  <c r="L38" i="12"/>
  <c r="Q38" i="12" s="1"/>
  <c r="Q38" i="11"/>
  <c r="AB38" i="11" s="1"/>
  <c r="L38" i="13"/>
  <c r="Q38" i="13" s="1"/>
  <c r="W43" i="12"/>
  <c r="AB53" i="7"/>
  <c r="Y23" i="8"/>
  <c r="AB23" i="8" s="1"/>
  <c r="Y6" i="8"/>
  <c r="AB6" i="8" s="1"/>
  <c r="Y44" i="8"/>
  <c r="AB44" i="8" s="1"/>
  <c r="AE55" i="9"/>
  <c r="AE55" i="8"/>
  <c r="AO54" i="8" s="1"/>
  <c r="AE55" i="7"/>
  <c r="L40" i="12"/>
  <c r="Q40" i="12" s="1"/>
  <c r="Q40" i="11"/>
  <c r="AB40" i="11" s="1"/>
  <c r="L40" i="13"/>
  <c r="Q40" i="13" s="1"/>
  <c r="L23" i="12"/>
  <c r="Q23" i="12" s="1"/>
  <c r="Q23" i="11"/>
  <c r="AB23" i="11" s="1"/>
  <c r="L23" i="13"/>
  <c r="Q23" i="13" s="1"/>
  <c r="L7" i="12"/>
  <c r="Q7" i="12" s="1"/>
  <c r="Q7" i="11"/>
  <c r="AB7" i="11" s="1"/>
  <c r="L7" i="13"/>
  <c r="Q7" i="13" s="1"/>
  <c r="L33" i="12"/>
  <c r="Q33" i="12" s="1"/>
  <c r="Q33" i="11"/>
  <c r="AB33" i="11" s="1"/>
  <c r="L33" i="13"/>
  <c r="Q33" i="13" s="1"/>
  <c r="L29" i="12"/>
  <c r="Q29" i="12" s="1"/>
  <c r="Q29" i="11"/>
  <c r="AB29" i="11" s="1"/>
  <c r="L29" i="13"/>
  <c r="Q29" i="13" s="1"/>
  <c r="L26" i="12"/>
  <c r="Q26" i="12" s="1"/>
  <c r="Q26" i="11"/>
  <c r="AB26" i="11" s="1"/>
  <c r="L26" i="13"/>
  <c r="Q26" i="13" s="1"/>
  <c r="L19" i="12"/>
  <c r="Q19" i="12" s="1"/>
  <c r="Q19" i="11"/>
  <c r="AB19" i="11" s="1"/>
  <c r="L19" i="13"/>
  <c r="Q19" i="13" s="1"/>
  <c r="L15" i="12"/>
  <c r="Q15" i="12" s="1"/>
  <c r="Q15" i="11"/>
  <c r="AB15" i="11" s="1"/>
  <c r="L15" i="13"/>
  <c r="Q15" i="13" s="1"/>
  <c r="Y31" i="8"/>
  <c r="AB31" i="8" s="1"/>
  <c r="L32" i="12"/>
  <c r="Q32" i="12" s="1"/>
  <c r="Q32" i="11"/>
  <c r="AB32" i="11" s="1"/>
  <c r="L32" i="13"/>
  <c r="Q32" i="13" s="1"/>
  <c r="L22" i="12"/>
  <c r="Q22" i="12" s="1"/>
  <c r="Q22" i="11"/>
  <c r="AB22" i="11" s="1"/>
  <c r="L22" i="13"/>
  <c r="Q22" i="13" s="1"/>
  <c r="Q36" i="11"/>
  <c r="AB36" i="11" s="1"/>
  <c r="L36" i="12"/>
  <c r="Q36" i="12" s="1"/>
  <c r="L36" i="13"/>
  <c r="Q36" i="13" s="1"/>
  <c r="L28" i="12"/>
  <c r="Q28" i="12" s="1"/>
  <c r="Q28" i="11"/>
  <c r="AB28" i="11" s="1"/>
  <c r="L28" i="13"/>
  <c r="Q28" i="13" s="1"/>
  <c r="Q11" i="11"/>
  <c r="AB11" i="11" s="1"/>
  <c r="L11" i="12"/>
  <c r="Q11" i="12" s="1"/>
  <c r="L11" i="13"/>
  <c r="Q11" i="13" s="1"/>
  <c r="L16" i="12"/>
  <c r="Q16" i="12" s="1"/>
  <c r="Q16" i="11"/>
  <c r="AB16" i="11" s="1"/>
  <c r="L16" i="13"/>
  <c r="Q16" i="13" s="1"/>
  <c r="L14" i="12"/>
  <c r="Q14" i="12" s="1"/>
  <c r="Q14" i="11"/>
  <c r="AB14" i="11" s="1"/>
  <c r="L14" i="13"/>
  <c r="Q14" i="13" s="1"/>
  <c r="L6" i="12"/>
  <c r="Q6" i="12" s="1"/>
  <c r="Q6" i="11"/>
  <c r="AB6" i="11" s="1"/>
  <c r="L6" i="13"/>
  <c r="Q6" i="13" s="1"/>
  <c r="Y53" i="9"/>
  <c r="AB5" i="9"/>
  <c r="AB53" i="9" s="1"/>
  <c r="Y10" i="8"/>
  <c r="AB10" i="8" s="1"/>
  <c r="L12" i="12"/>
  <c r="Q12" i="12" s="1"/>
  <c r="Q12" i="11"/>
  <c r="AB12" i="11" s="1"/>
  <c r="L12" i="13"/>
  <c r="Q12" i="13" s="1"/>
  <c r="L41" i="12"/>
  <c r="Q41" i="12" s="1"/>
  <c r="Q41" i="11"/>
  <c r="AB41" i="11" s="1"/>
  <c r="L41" i="13"/>
  <c r="Q41" i="13" s="1"/>
  <c r="Q39" i="11"/>
  <c r="AB39" i="11" s="1"/>
  <c r="L39" i="12"/>
  <c r="Q39" i="12" s="1"/>
  <c r="L39" i="13"/>
  <c r="Q39" i="13" s="1"/>
  <c r="L35" i="12"/>
  <c r="Q35" i="12" s="1"/>
  <c r="Q35" i="11"/>
  <c r="AB35" i="11" s="1"/>
  <c r="L35" i="13"/>
  <c r="Q35" i="13" s="1"/>
  <c r="Q30" i="11"/>
  <c r="AB30" i="11" s="1"/>
  <c r="L30" i="12"/>
  <c r="Q30" i="12" s="1"/>
  <c r="L30" i="13"/>
  <c r="Q30" i="13" s="1"/>
  <c r="L9" i="12"/>
  <c r="Q9" i="12" s="1"/>
  <c r="Q9" i="11"/>
  <c r="AB9" i="11" s="1"/>
  <c r="L9" i="13"/>
  <c r="Q9" i="13" s="1"/>
  <c r="Y5" i="8"/>
  <c r="Y27" i="8"/>
  <c r="AB27" i="8" s="1"/>
  <c r="E23" i="5"/>
  <c r="E29" i="5" s="1"/>
  <c r="AE57" i="6"/>
  <c r="E47" i="5"/>
  <c r="E52" i="5" s="1"/>
  <c r="Y53" i="8" l="1"/>
  <c r="S45" i="9"/>
  <c r="S31" i="9"/>
  <c r="S11" i="9"/>
  <c r="S42" i="9"/>
  <c r="S48" i="9"/>
  <c r="S35" i="9"/>
  <c r="S24" i="9"/>
  <c r="S32" i="9"/>
  <c r="S47" i="9"/>
  <c r="S21" i="9"/>
  <c r="S37" i="9"/>
  <c r="S49" i="9"/>
  <c r="S33" i="9"/>
  <c r="S15" i="9"/>
  <c r="S46" i="9"/>
  <c r="S22" i="9"/>
  <c r="S40" i="9"/>
  <c r="S28" i="9"/>
  <c r="S17" i="9"/>
  <c r="S51" i="9"/>
  <c r="S25" i="9"/>
  <c r="S10" i="9"/>
  <c r="S18" i="9"/>
  <c r="S36" i="9"/>
  <c r="S5" i="9"/>
  <c r="S50" i="9"/>
  <c r="S26" i="9"/>
  <c r="S12" i="9"/>
  <c r="S6" i="9"/>
  <c r="S19" i="9"/>
  <c r="S16" i="9"/>
  <c r="S29" i="9"/>
  <c r="S14" i="9"/>
  <c r="S34" i="9"/>
  <c r="S8" i="9"/>
  <c r="S27" i="9"/>
  <c r="S41" i="9"/>
  <c r="S30" i="9"/>
  <c r="S7" i="9"/>
  <c r="S38" i="9"/>
  <c r="S44" i="9"/>
  <c r="S9" i="9"/>
  <c r="S20" i="9"/>
  <c r="S23" i="9"/>
  <c r="S43" i="9"/>
  <c r="S13" i="9"/>
  <c r="S39" i="9"/>
  <c r="X18" i="12"/>
  <c r="Y18" i="12" s="1"/>
  <c r="AB18" i="12" s="1"/>
  <c r="X18" i="13"/>
  <c r="Y18" i="13" s="1"/>
  <c r="AB18" i="13" s="1"/>
  <c r="X16" i="12"/>
  <c r="Y16" i="12" s="1"/>
  <c r="AB16" i="12" s="1"/>
  <c r="X16" i="13"/>
  <c r="Y16" i="13" s="1"/>
  <c r="AB16" i="13" s="1"/>
  <c r="S10" i="27" s="1"/>
  <c r="X33" i="12"/>
  <c r="Y33" i="12" s="1"/>
  <c r="X33" i="13"/>
  <c r="Y33" i="13" s="1"/>
  <c r="AB33" i="13" s="1"/>
  <c r="X25" i="12"/>
  <c r="Y25" i="12" s="1"/>
  <c r="AB25" i="12" s="1"/>
  <c r="X25" i="13"/>
  <c r="Y25" i="13" s="1"/>
  <c r="AB25" i="13" s="1"/>
  <c r="S18" i="27" s="1"/>
  <c r="X30" i="12"/>
  <c r="Y30" i="12" s="1"/>
  <c r="AB30" i="12" s="1"/>
  <c r="X30" i="13"/>
  <c r="Y30" i="13" s="1"/>
  <c r="AB30" i="13" s="1"/>
  <c r="S24" i="27" s="1"/>
  <c r="X41" i="12"/>
  <c r="Y41" i="12" s="1"/>
  <c r="X41" i="13"/>
  <c r="Y41" i="13" s="1"/>
  <c r="AB41" i="13" s="1"/>
  <c r="S33" i="27" s="1"/>
  <c r="AB33" i="12"/>
  <c r="X40" i="12"/>
  <c r="Y40" i="12" s="1"/>
  <c r="AB40" i="12" s="1"/>
  <c r="X40" i="13"/>
  <c r="Y40" i="13" s="1"/>
  <c r="AB40" i="13" s="1"/>
  <c r="S32" i="27" s="1"/>
  <c r="X27" i="12"/>
  <c r="Y27" i="12" s="1"/>
  <c r="AB27" i="12" s="1"/>
  <c r="X27" i="13"/>
  <c r="Y27" i="13" s="1"/>
  <c r="AB27" i="13" s="1"/>
  <c r="X13" i="12"/>
  <c r="Y13" i="12" s="1"/>
  <c r="AB13" i="12" s="1"/>
  <c r="X13" i="13"/>
  <c r="Y13" i="13" s="1"/>
  <c r="AB13" i="13" s="1"/>
  <c r="X37" i="12"/>
  <c r="Y37" i="12" s="1"/>
  <c r="AB37" i="12" s="1"/>
  <c r="X37" i="13"/>
  <c r="Y37" i="13" s="1"/>
  <c r="AB37" i="13" s="1"/>
  <c r="S29" i="27" s="1"/>
  <c r="AG57" i="6"/>
  <c r="AG55" i="9"/>
  <c r="AG55" i="8"/>
  <c r="AG55" i="7"/>
  <c r="AB41" i="12"/>
  <c r="X6" i="12"/>
  <c r="Y6" i="12" s="1"/>
  <c r="AB6" i="12" s="1"/>
  <c r="X6" i="13"/>
  <c r="Y6" i="13" s="1"/>
  <c r="AB6" i="13" s="1"/>
  <c r="X36" i="12"/>
  <c r="Y36" i="12" s="1"/>
  <c r="AB36" i="12" s="1"/>
  <c r="X36" i="13"/>
  <c r="Y36" i="13" s="1"/>
  <c r="AB36" i="13" s="1"/>
  <c r="S28" i="27" s="1"/>
  <c r="X26" i="12"/>
  <c r="Y26" i="12" s="1"/>
  <c r="AB26" i="12" s="1"/>
  <c r="X26" i="13"/>
  <c r="Y26" i="13" s="1"/>
  <c r="AB26" i="13" s="1"/>
  <c r="S19" i="27" s="1"/>
  <c r="X17" i="12"/>
  <c r="Y17" i="12" s="1"/>
  <c r="AB17" i="12" s="1"/>
  <c r="X17" i="13"/>
  <c r="Y17" i="13" s="1"/>
  <c r="AB17" i="13" s="1"/>
  <c r="E46" i="5"/>
  <c r="Y45" i="12"/>
  <c r="Y45" i="13"/>
  <c r="Y45" i="10"/>
  <c r="Y45" i="11"/>
  <c r="L43" i="13"/>
  <c r="Q5" i="13"/>
  <c r="X21" i="12"/>
  <c r="Y21" i="12" s="1"/>
  <c r="AB21" i="12" s="1"/>
  <c r="X21" i="13"/>
  <c r="Y21" i="13" s="1"/>
  <c r="AB21" i="13" s="1"/>
  <c r="S13" i="27" s="1"/>
  <c r="X7" i="12"/>
  <c r="Y7" i="12" s="1"/>
  <c r="AB7" i="12" s="1"/>
  <c r="X7" i="13"/>
  <c r="Y7" i="13" s="1"/>
  <c r="AB7" i="13" s="1"/>
  <c r="S5" i="27" s="1"/>
  <c r="X39" i="12"/>
  <c r="Y39" i="12" s="1"/>
  <c r="AB39" i="12" s="1"/>
  <c r="X39" i="13"/>
  <c r="Y39" i="13" s="1"/>
  <c r="AB39" i="13" s="1"/>
  <c r="S30" i="27" s="1"/>
  <c r="X20" i="12"/>
  <c r="Y20" i="12" s="1"/>
  <c r="AB20" i="12" s="1"/>
  <c r="X20" i="13"/>
  <c r="Y20" i="13" s="1"/>
  <c r="AB20" i="13" s="1"/>
  <c r="S12" i="27" s="1"/>
  <c r="X12" i="12"/>
  <c r="Y12" i="12" s="1"/>
  <c r="AB12" i="12" s="1"/>
  <c r="X12" i="13"/>
  <c r="Y12" i="13" s="1"/>
  <c r="AB12" i="13" s="1"/>
  <c r="X11" i="12"/>
  <c r="Y11" i="12" s="1"/>
  <c r="AB11" i="12" s="1"/>
  <c r="X11" i="13"/>
  <c r="Y11" i="13" s="1"/>
  <c r="AB11" i="13" s="1"/>
  <c r="S11" i="27" s="1"/>
  <c r="X22" i="12"/>
  <c r="Y22" i="12" s="1"/>
  <c r="AB22" i="12" s="1"/>
  <c r="X22" i="13"/>
  <c r="Y22" i="13" s="1"/>
  <c r="AB22" i="13" s="1"/>
  <c r="S14" i="27" s="1"/>
  <c r="X15" i="12"/>
  <c r="Y15" i="12" s="1"/>
  <c r="AB15" i="12" s="1"/>
  <c r="X15" i="13"/>
  <c r="Y15" i="13" s="1"/>
  <c r="AB15" i="13" s="1"/>
  <c r="S8" i="27" s="1"/>
  <c r="X38" i="12"/>
  <c r="Y38" i="12" s="1"/>
  <c r="AB38" i="12" s="1"/>
  <c r="X38" i="13"/>
  <c r="Y38" i="13" s="1"/>
  <c r="AB38" i="13" s="1"/>
  <c r="S31" i="27" s="1"/>
  <c r="X24" i="12"/>
  <c r="Y24" i="12" s="1"/>
  <c r="AB24" i="12" s="1"/>
  <c r="X24" i="13"/>
  <c r="Y24" i="13" s="1"/>
  <c r="AB24" i="13" s="1"/>
  <c r="S17" i="27" s="1"/>
  <c r="X34" i="12"/>
  <c r="Y34" i="12" s="1"/>
  <c r="AB34" i="12" s="1"/>
  <c r="X34" i="13"/>
  <c r="Y34" i="13" s="1"/>
  <c r="AB34" i="13" s="1"/>
  <c r="Q43" i="11"/>
  <c r="AB5" i="11"/>
  <c r="AB43" i="11" s="1"/>
  <c r="X32" i="12"/>
  <c r="Y32" i="12" s="1"/>
  <c r="AB32" i="12" s="1"/>
  <c r="X32" i="13"/>
  <c r="Y32" i="13" s="1"/>
  <c r="AB32" i="13" s="1"/>
  <c r="X35" i="12"/>
  <c r="Y35" i="12" s="1"/>
  <c r="AB35" i="12" s="1"/>
  <c r="X35" i="13"/>
  <c r="Y35" i="13" s="1"/>
  <c r="AB35" i="13" s="1"/>
  <c r="S27" i="27" s="1"/>
  <c r="X9" i="12"/>
  <c r="Y9" i="12" s="1"/>
  <c r="X9" i="13"/>
  <c r="Y9" i="13" s="1"/>
  <c r="AB9" i="13" s="1"/>
  <c r="S7" i="27" s="1"/>
  <c r="X14" i="12"/>
  <c r="Y14" i="12" s="1"/>
  <c r="AB14" i="12" s="1"/>
  <c r="X14" i="13"/>
  <c r="Y14" i="13" s="1"/>
  <c r="AB14" i="13" s="1"/>
  <c r="X29" i="12"/>
  <c r="Y29" i="12" s="1"/>
  <c r="AB29" i="12" s="1"/>
  <c r="X29" i="13"/>
  <c r="Y29" i="13" s="1"/>
  <c r="AB29" i="13" s="1"/>
  <c r="S23" i="27" s="1"/>
  <c r="AB5" i="8"/>
  <c r="AB53" i="8" s="1"/>
  <c r="L43" i="12"/>
  <c r="Q5" i="12"/>
  <c r="X31" i="12"/>
  <c r="Y31" i="12" s="1"/>
  <c r="AB31" i="12" s="1"/>
  <c r="X31" i="13"/>
  <c r="Y31" i="13" s="1"/>
  <c r="AB31" i="13" s="1"/>
  <c r="X19" i="12"/>
  <c r="Y19" i="12" s="1"/>
  <c r="AB19" i="12" s="1"/>
  <c r="X19" i="13"/>
  <c r="Y19" i="13" s="1"/>
  <c r="AB19" i="13" s="1"/>
  <c r="AM57" i="6"/>
  <c r="AM55" i="9"/>
  <c r="AM55" i="8"/>
  <c r="AM55" i="7"/>
  <c r="AB9" i="12"/>
  <c r="X28" i="12"/>
  <c r="Y28" i="12" s="1"/>
  <c r="AB28" i="12" s="1"/>
  <c r="X28" i="13"/>
  <c r="Y28" i="13" s="1"/>
  <c r="AB28" i="13" s="1"/>
  <c r="S22" i="27" s="1"/>
  <c r="X23" i="12"/>
  <c r="Y23" i="12" s="1"/>
  <c r="AB23" i="12" s="1"/>
  <c r="X23" i="13"/>
  <c r="Y23" i="13" s="1"/>
  <c r="AB23" i="13" s="1"/>
  <c r="X10" i="12"/>
  <c r="Y10" i="12" s="1"/>
  <c r="AB10" i="12" s="1"/>
  <c r="X10" i="13"/>
  <c r="Y10" i="13" s="1"/>
  <c r="AB10" i="13" s="1"/>
  <c r="S9" i="27" s="1"/>
  <c r="X8" i="12"/>
  <c r="Y8" i="12" s="1"/>
  <c r="AB8" i="12" s="1"/>
  <c r="X8" i="13"/>
  <c r="Y8" i="13" s="1"/>
  <c r="AB8" i="13" s="1"/>
  <c r="S6" i="27" s="1"/>
  <c r="G11" i="27" l="1"/>
  <c r="G6" i="27"/>
  <c r="S21" i="27"/>
  <c r="S16" i="27"/>
  <c r="S26" i="27"/>
  <c r="S15" i="27"/>
  <c r="S25" i="27"/>
  <c r="S20" i="27"/>
  <c r="AA339" i="22"/>
  <c r="AA335" i="22"/>
  <c r="AA331" i="22"/>
  <c r="AA133" i="23"/>
  <c r="AA129" i="23"/>
  <c r="AA125" i="23"/>
  <c r="AA338" i="22"/>
  <c r="AG338" i="22" s="1"/>
  <c r="AA340" i="22"/>
  <c r="AG340" i="22" s="1"/>
  <c r="AA336" i="22"/>
  <c r="AG336" i="22" s="1"/>
  <c r="AA332" i="22"/>
  <c r="AA132" i="23"/>
  <c r="AA128" i="23"/>
  <c r="AA124" i="23"/>
  <c r="AA337" i="22"/>
  <c r="AG337" i="22" s="1"/>
  <c r="AA333" i="22"/>
  <c r="AG333" i="22" s="1"/>
  <c r="AA329" i="22"/>
  <c r="AG329" i="22" s="1"/>
  <c r="AA131" i="23"/>
  <c r="AA127" i="23"/>
  <c r="AA123" i="23"/>
  <c r="AA334" i="22"/>
  <c r="AA330" i="22"/>
  <c r="AG330" i="22" s="1"/>
  <c r="AA134" i="23"/>
  <c r="AA130" i="23"/>
  <c r="AA126" i="23"/>
  <c r="AA86" i="22"/>
  <c r="AG86" i="22" s="1"/>
  <c r="AA82" i="22"/>
  <c r="AG82" i="22" s="1"/>
  <c r="AA78" i="22"/>
  <c r="AG78" i="22" s="1"/>
  <c r="AA20" i="23"/>
  <c r="AA16" i="23"/>
  <c r="AA12" i="23"/>
  <c r="AA2" i="23"/>
  <c r="AA2" i="22"/>
  <c r="AG2" i="22" s="1"/>
  <c r="AA87" i="22"/>
  <c r="AG87" i="22" s="1"/>
  <c r="AA83" i="22"/>
  <c r="AG83" i="22" s="1"/>
  <c r="AA79" i="22"/>
  <c r="AG79" i="22" s="1"/>
  <c r="AA19" i="23"/>
  <c r="AA15" i="23"/>
  <c r="AA84" i="22"/>
  <c r="AG84" i="22" s="1"/>
  <c r="AA80" i="22"/>
  <c r="AG80" i="22" s="1"/>
  <c r="AA72" i="22"/>
  <c r="AG72" i="22" s="1"/>
  <c r="AA18" i="23"/>
  <c r="AA14" i="23"/>
  <c r="AA7" i="23"/>
  <c r="AA85" i="22"/>
  <c r="AG85" i="22" s="1"/>
  <c r="AA81" i="22"/>
  <c r="AG81" i="22" s="1"/>
  <c r="AA73" i="22"/>
  <c r="AG73" i="22" s="1"/>
  <c r="AA21" i="23"/>
  <c r="AA17" i="23"/>
  <c r="AA13" i="23"/>
  <c r="AA6" i="23"/>
  <c r="AA3" i="23"/>
  <c r="AA3" i="22"/>
  <c r="AG3" i="22" s="1"/>
  <c r="AA232" i="22"/>
  <c r="AG232" i="22" s="1"/>
  <c r="AA228" i="22"/>
  <c r="AG228" i="22" s="1"/>
  <c r="AA224" i="22"/>
  <c r="AG224" i="22" s="1"/>
  <c r="AA235" i="22"/>
  <c r="AG235" i="22" s="1"/>
  <c r="AA231" i="22"/>
  <c r="AG231" i="22" s="1"/>
  <c r="AA227" i="22"/>
  <c r="AG227" i="22" s="1"/>
  <c r="AA223" i="22"/>
  <c r="AG223" i="22" s="1"/>
  <c r="AA234" i="22"/>
  <c r="AG234" i="22" s="1"/>
  <c r="AA230" i="22"/>
  <c r="AG230" i="22" s="1"/>
  <c r="AA226" i="22"/>
  <c r="AG226" i="22" s="1"/>
  <c r="AA222" i="22"/>
  <c r="AG222" i="22" s="1"/>
  <c r="AA233" i="22"/>
  <c r="AG233" i="22" s="1"/>
  <c r="AA225" i="22"/>
  <c r="AG225" i="22" s="1"/>
  <c r="AA229" i="22"/>
  <c r="AG229" i="22" s="1"/>
  <c r="AA93" i="23"/>
  <c r="AA92" i="23"/>
  <c r="AA91" i="23"/>
  <c r="AA90" i="23"/>
  <c r="AA89" i="23"/>
  <c r="AA88" i="23"/>
  <c r="AA87" i="23"/>
  <c r="AA86" i="23"/>
  <c r="AA85" i="23"/>
  <c r="AA84" i="23"/>
  <c r="AA83" i="23"/>
  <c r="AA82" i="23"/>
  <c r="AA192" i="22"/>
  <c r="AG192" i="22" s="1"/>
  <c r="AA188" i="22"/>
  <c r="AG188" i="22" s="1"/>
  <c r="AA184" i="22"/>
  <c r="AG184" i="22" s="1"/>
  <c r="AA191" i="22"/>
  <c r="AG191" i="22" s="1"/>
  <c r="AA187" i="22"/>
  <c r="AG187" i="22" s="1"/>
  <c r="AA183" i="22"/>
  <c r="AG183" i="22" s="1"/>
  <c r="AA190" i="22"/>
  <c r="AG190" i="22" s="1"/>
  <c r="AA186" i="22"/>
  <c r="AG186" i="22" s="1"/>
  <c r="AA182" i="22"/>
  <c r="AG182" i="22" s="1"/>
  <c r="AA189" i="22"/>
  <c r="AG189" i="22" s="1"/>
  <c r="AA185" i="22"/>
  <c r="AG185" i="22" s="1"/>
  <c r="AA181" i="22"/>
  <c r="AG181" i="22" s="1"/>
  <c r="AA24" i="22"/>
  <c r="AG24" i="22" s="1"/>
  <c r="AA20" i="22"/>
  <c r="AG20" i="22" s="1"/>
  <c r="AA16" i="22"/>
  <c r="AG16" i="22" s="1"/>
  <c r="AA12" i="22"/>
  <c r="AG12" i="22" s="1"/>
  <c r="AA8" i="22"/>
  <c r="AG8" i="22" s="1"/>
  <c r="AA13" i="22"/>
  <c r="AG13" i="22" s="1"/>
  <c r="AA27" i="22"/>
  <c r="AG27" i="22" s="1"/>
  <c r="AA23" i="22"/>
  <c r="AG23" i="22" s="1"/>
  <c r="AA19" i="22"/>
  <c r="AG19" i="22" s="1"/>
  <c r="AA15" i="22"/>
  <c r="AG15" i="22" s="1"/>
  <c r="AA11" i="22"/>
  <c r="AG11" i="22" s="1"/>
  <c r="AA7" i="22"/>
  <c r="AG7" i="22" s="1"/>
  <c r="AA25" i="22"/>
  <c r="AG25" i="22" s="1"/>
  <c r="AA21" i="22"/>
  <c r="AG21" i="22" s="1"/>
  <c r="AA17" i="22"/>
  <c r="AG17" i="22" s="1"/>
  <c r="AA9" i="22"/>
  <c r="AG9" i="22" s="1"/>
  <c r="AA26" i="22"/>
  <c r="AG26" i="22" s="1"/>
  <c r="AA22" i="22"/>
  <c r="AG22" i="22" s="1"/>
  <c r="AA18" i="22"/>
  <c r="AG18" i="22" s="1"/>
  <c r="AA14" i="22"/>
  <c r="AG14" i="22" s="1"/>
  <c r="AA10" i="22"/>
  <c r="AG10" i="22" s="1"/>
  <c r="AA6" i="22"/>
  <c r="AG6" i="22" s="1"/>
  <c r="AA81" i="23"/>
  <c r="AA80" i="23"/>
  <c r="AA79" i="23"/>
  <c r="AA78" i="23"/>
  <c r="AA77" i="23"/>
  <c r="AA76" i="23"/>
  <c r="AA75" i="23"/>
  <c r="AA74" i="23"/>
  <c r="AA73" i="23"/>
  <c r="AA72" i="23"/>
  <c r="AA71" i="23"/>
  <c r="AA70" i="23"/>
  <c r="AA69" i="23"/>
  <c r="AA180" i="22"/>
  <c r="AG180" i="22" s="1"/>
  <c r="AA176" i="22"/>
  <c r="AG176" i="22" s="1"/>
  <c r="AA172" i="22"/>
  <c r="AG172" i="22" s="1"/>
  <c r="AA168" i="22"/>
  <c r="AG168" i="22" s="1"/>
  <c r="AA179" i="22"/>
  <c r="AG179" i="22" s="1"/>
  <c r="AA175" i="22"/>
  <c r="AG175" i="22" s="1"/>
  <c r="AA171" i="22"/>
  <c r="AG171" i="22" s="1"/>
  <c r="AA178" i="22"/>
  <c r="AG178" i="22" s="1"/>
  <c r="AA174" i="22"/>
  <c r="AG174" i="22" s="1"/>
  <c r="AA170" i="22"/>
  <c r="AG170" i="22" s="1"/>
  <c r="AA173" i="22"/>
  <c r="AG173" i="22" s="1"/>
  <c r="AA169" i="22"/>
  <c r="AG169" i="22" s="1"/>
  <c r="AA177" i="22"/>
  <c r="AG177" i="22" s="1"/>
  <c r="AA352" i="22"/>
  <c r="AG352" i="22" s="1"/>
  <c r="AA348" i="22"/>
  <c r="AG348" i="22" s="1"/>
  <c r="AA344" i="22"/>
  <c r="AG344" i="22" s="1"/>
  <c r="AA351" i="22"/>
  <c r="AG351" i="22" s="1"/>
  <c r="AA347" i="22"/>
  <c r="AG347" i="22" s="1"/>
  <c r="AA343" i="22"/>
  <c r="AG343" i="22" s="1"/>
  <c r="AA350" i="22"/>
  <c r="AG350" i="22" s="1"/>
  <c r="AA346" i="22"/>
  <c r="AG346" i="22" s="1"/>
  <c r="AA342" i="22"/>
  <c r="AG342" i="22" s="1"/>
  <c r="AA349" i="22"/>
  <c r="AG349" i="22" s="1"/>
  <c r="AA345" i="22"/>
  <c r="AG345" i="22" s="1"/>
  <c r="AA341" i="22"/>
  <c r="AG341" i="22" s="1"/>
  <c r="AA260" i="22"/>
  <c r="AG260" i="22" s="1"/>
  <c r="AA256" i="22"/>
  <c r="AG256" i="22" s="1"/>
  <c r="AA252" i="22"/>
  <c r="AG252" i="22" s="1"/>
  <c r="AA263" i="22"/>
  <c r="AG263" i="22" s="1"/>
  <c r="AA259" i="22"/>
  <c r="AG259" i="22" s="1"/>
  <c r="AA255" i="22"/>
  <c r="AG255" i="22" s="1"/>
  <c r="AA251" i="22"/>
  <c r="AG251" i="22" s="1"/>
  <c r="AA262" i="22"/>
  <c r="AG262" i="22" s="1"/>
  <c r="AA258" i="22"/>
  <c r="AG258" i="22" s="1"/>
  <c r="AA254" i="22"/>
  <c r="AG254" i="22" s="1"/>
  <c r="AA250" i="22"/>
  <c r="AG250" i="22" s="1"/>
  <c r="AA253" i="22"/>
  <c r="AG253" i="22" s="1"/>
  <c r="AA257" i="22"/>
  <c r="AG257" i="22" s="1"/>
  <c r="AA261" i="22"/>
  <c r="AG261" i="22" s="1"/>
  <c r="AA55" i="23"/>
  <c r="AA54" i="23"/>
  <c r="AA53" i="23"/>
  <c r="AA52" i="23"/>
  <c r="AA51" i="23"/>
  <c r="AA50" i="23"/>
  <c r="AA152" i="22"/>
  <c r="AG152" i="22" s="1"/>
  <c r="AA148" i="22"/>
  <c r="AG148" i="22" s="1"/>
  <c r="AA144" i="22"/>
  <c r="AG144" i="22" s="1"/>
  <c r="AA151" i="22"/>
  <c r="AG151" i="22" s="1"/>
  <c r="AA147" i="22"/>
  <c r="AG147" i="22" s="1"/>
  <c r="AA143" i="22"/>
  <c r="AG143" i="22" s="1"/>
  <c r="AA154" i="22"/>
  <c r="AG154" i="22" s="1"/>
  <c r="AA150" i="22"/>
  <c r="AG150" i="22" s="1"/>
  <c r="AA146" i="22"/>
  <c r="AG146" i="22" s="1"/>
  <c r="AA142" i="22"/>
  <c r="AG142" i="22" s="1"/>
  <c r="AA153" i="22"/>
  <c r="AG153" i="22" s="1"/>
  <c r="AA145" i="22"/>
  <c r="AG145" i="22" s="1"/>
  <c r="AA149" i="22"/>
  <c r="AG149" i="22" s="1"/>
  <c r="AA49" i="23"/>
  <c r="AA48" i="23"/>
  <c r="AA47" i="23"/>
  <c r="AA46" i="23"/>
  <c r="AA45" i="23"/>
  <c r="AA44" i="23"/>
  <c r="AA43" i="23"/>
  <c r="AA122" i="23"/>
  <c r="AA121" i="23"/>
  <c r="AA120" i="23"/>
  <c r="AA119" i="23"/>
  <c r="AA118" i="23"/>
  <c r="AA117" i="23"/>
  <c r="AA116" i="23"/>
  <c r="AA115" i="23"/>
  <c r="AA114" i="23"/>
  <c r="AA113" i="23"/>
  <c r="AA112" i="23"/>
  <c r="AA111" i="23"/>
  <c r="AA110" i="23"/>
  <c r="AA109" i="23"/>
  <c r="AA108" i="23"/>
  <c r="AA107" i="23"/>
  <c r="AA106" i="23"/>
  <c r="AA105" i="23"/>
  <c r="AA104" i="23"/>
  <c r="AA103" i="23"/>
  <c r="AA102" i="23"/>
  <c r="AA101" i="23"/>
  <c r="AA100" i="23"/>
  <c r="AA99" i="23"/>
  <c r="AA98" i="23"/>
  <c r="AA97" i="23"/>
  <c r="AA96" i="23"/>
  <c r="AA95" i="23"/>
  <c r="AA94" i="23"/>
  <c r="AA220" i="22"/>
  <c r="AG220" i="22" s="1"/>
  <c r="AA216" i="22"/>
  <c r="AG216" i="22" s="1"/>
  <c r="AA212" i="22"/>
  <c r="AG212" i="22" s="1"/>
  <c r="AA208" i="22"/>
  <c r="AG208" i="22" s="1"/>
  <c r="AA204" i="22"/>
  <c r="AG204" i="22" s="1"/>
  <c r="AA200" i="22"/>
  <c r="AG200" i="22" s="1"/>
  <c r="AA196" i="22"/>
  <c r="AG196" i="22" s="1"/>
  <c r="AA219" i="22"/>
  <c r="AG219" i="22" s="1"/>
  <c r="AA215" i="22"/>
  <c r="AG215" i="22" s="1"/>
  <c r="AA211" i="22"/>
  <c r="AG211" i="22" s="1"/>
  <c r="AA207" i="22"/>
  <c r="AG207" i="22" s="1"/>
  <c r="AA203" i="22"/>
  <c r="AG203" i="22" s="1"/>
  <c r="AA199" i="22"/>
  <c r="AG199" i="22" s="1"/>
  <c r="AA195" i="22"/>
  <c r="AG195" i="22" s="1"/>
  <c r="AA218" i="22"/>
  <c r="AG218" i="22" s="1"/>
  <c r="AA214" i="22"/>
  <c r="AG214" i="22" s="1"/>
  <c r="AA210" i="22"/>
  <c r="AG210" i="22" s="1"/>
  <c r="AA206" i="22"/>
  <c r="AG206" i="22" s="1"/>
  <c r="AA202" i="22"/>
  <c r="AG202" i="22" s="1"/>
  <c r="AA198" i="22"/>
  <c r="AG198" i="22" s="1"/>
  <c r="AA194" i="22"/>
  <c r="AG194" i="22" s="1"/>
  <c r="AA221" i="22"/>
  <c r="AG221" i="22" s="1"/>
  <c r="AA205" i="22"/>
  <c r="AG205" i="22" s="1"/>
  <c r="AA217" i="22"/>
  <c r="AG217" i="22" s="1"/>
  <c r="AA201" i="22"/>
  <c r="AG201" i="22" s="1"/>
  <c r="AA209" i="22"/>
  <c r="AG209" i="22" s="1"/>
  <c r="AA193" i="22"/>
  <c r="AG193" i="22" s="1"/>
  <c r="AA213" i="22"/>
  <c r="AG213" i="22" s="1"/>
  <c r="AA197" i="22"/>
  <c r="AG197" i="22" s="1"/>
  <c r="AG332" i="22"/>
  <c r="AA328" i="22"/>
  <c r="AG328" i="22" s="1"/>
  <c r="AA324" i="22"/>
  <c r="AG324" i="22" s="1"/>
  <c r="AA320" i="22"/>
  <c r="AG320" i="22" s="1"/>
  <c r="AA316" i="22"/>
  <c r="AG316" i="22" s="1"/>
  <c r="AA312" i="22"/>
  <c r="AG312" i="22" s="1"/>
  <c r="AA308" i="22"/>
  <c r="AG308" i="22" s="1"/>
  <c r="AA304" i="22"/>
  <c r="AG304" i="22" s="1"/>
  <c r="AA300" i="22"/>
  <c r="AG300" i="22" s="1"/>
  <c r="AA296" i="22"/>
  <c r="AG296" i="22" s="1"/>
  <c r="AA292" i="22"/>
  <c r="AG292" i="22" s="1"/>
  <c r="AA288" i="22"/>
  <c r="AG288" i="22" s="1"/>
  <c r="AA284" i="22"/>
  <c r="AG284" i="22" s="1"/>
  <c r="AA280" i="22"/>
  <c r="AG280" i="22" s="1"/>
  <c r="AA276" i="22"/>
  <c r="AG276" i="22" s="1"/>
  <c r="AA272" i="22"/>
  <c r="AG272" i="22" s="1"/>
  <c r="AA268" i="22"/>
  <c r="AG268" i="22" s="1"/>
  <c r="AA264" i="22"/>
  <c r="AG264" i="22" s="1"/>
  <c r="AG339" i="22"/>
  <c r="AG335" i="22"/>
  <c r="AG331" i="22"/>
  <c r="AA327" i="22"/>
  <c r="AG327" i="22" s="1"/>
  <c r="AA323" i="22"/>
  <c r="AG323" i="22" s="1"/>
  <c r="AA319" i="22"/>
  <c r="AG319" i="22" s="1"/>
  <c r="AA315" i="22"/>
  <c r="AG315" i="22" s="1"/>
  <c r="AA311" i="22"/>
  <c r="AG311" i="22" s="1"/>
  <c r="AA307" i="22"/>
  <c r="AG307" i="22" s="1"/>
  <c r="AA303" i="22"/>
  <c r="AG303" i="22" s="1"/>
  <c r="AA299" i="22"/>
  <c r="AG299" i="22" s="1"/>
  <c r="AA295" i="22"/>
  <c r="AG295" i="22" s="1"/>
  <c r="AA291" i="22"/>
  <c r="AG291" i="22" s="1"/>
  <c r="AA287" i="22"/>
  <c r="AG287" i="22" s="1"/>
  <c r="AA283" i="22"/>
  <c r="AG283" i="22" s="1"/>
  <c r="AA279" i="22"/>
  <c r="AG279" i="22" s="1"/>
  <c r="AA275" i="22"/>
  <c r="AG275" i="22" s="1"/>
  <c r="AA271" i="22"/>
  <c r="AG271" i="22" s="1"/>
  <c r="AA267" i="22"/>
  <c r="AG267" i="22" s="1"/>
  <c r="AG334" i="22"/>
  <c r="AA326" i="22"/>
  <c r="AG326" i="22" s="1"/>
  <c r="AA322" i="22"/>
  <c r="AG322" i="22" s="1"/>
  <c r="AA318" i="22"/>
  <c r="AG318" i="22" s="1"/>
  <c r="AA314" i="22"/>
  <c r="AG314" i="22" s="1"/>
  <c r="AA310" i="22"/>
  <c r="AG310" i="22" s="1"/>
  <c r="AA306" i="22"/>
  <c r="AG306" i="22" s="1"/>
  <c r="AA302" i="22"/>
  <c r="AG302" i="22" s="1"/>
  <c r="AA298" i="22"/>
  <c r="AG298" i="22" s="1"/>
  <c r="AA294" i="22"/>
  <c r="AG294" i="22" s="1"/>
  <c r="AA290" i="22"/>
  <c r="AG290" i="22" s="1"/>
  <c r="AA286" i="22"/>
  <c r="AG286" i="22" s="1"/>
  <c r="AA282" i="22"/>
  <c r="AG282" i="22" s="1"/>
  <c r="AA278" i="22"/>
  <c r="AG278" i="22" s="1"/>
  <c r="AA274" i="22"/>
  <c r="AG274" i="22" s="1"/>
  <c r="AA270" i="22"/>
  <c r="AG270" i="22" s="1"/>
  <c r="AA266" i="22"/>
  <c r="AG266" i="22" s="1"/>
  <c r="AA317" i="22"/>
  <c r="AG317" i="22" s="1"/>
  <c r="AA301" i="22"/>
  <c r="AG301" i="22" s="1"/>
  <c r="AA285" i="22"/>
  <c r="AG285" i="22" s="1"/>
  <c r="AA269" i="22"/>
  <c r="AG269" i="22" s="1"/>
  <c r="AA313" i="22"/>
  <c r="AG313" i="22" s="1"/>
  <c r="AA297" i="22"/>
  <c r="AG297" i="22" s="1"/>
  <c r="AA281" i="22"/>
  <c r="AG281" i="22" s="1"/>
  <c r="AA265" i="22"/>
  <c r="AG265" i="22" s="1"/>
  <c r="AA321" i="22"/>
  <c r="AG321" i="22" s="1"/>
  <c r="AA305" i="22"/>
  <c r="AG305" i="22" s="1"/>
  <c r="AA289" i="22"/>
  <c r="AG289" i="22" s="1"/>
  <c r="AA273" i="22"/>
  <c r="AG273" i="22" s="1"/>
  <c r="AA325" i="22"/>
  <c r="AG325" i="22" s="1"/>
  <c r="AA309" i="22"/>
  <c r="AG309" i="22" s="1"/>
  <c r="AA293" i="22"/>
  <c r="AG293" i="22" s="1"/>
  <c r="AA277" i="22"/>
  <c r="AG277" i="22" s="1"/>
  <c r="AA68" i="23"/>
  <c r="AA67" i="23"/>
  <c r="AA66" i="23"/>
  <c r="AA65" i="23"/>
  <c r="AA64" i="23"/>
  <c r="AA63" i="23"/>
  <c r="AA62" i="23"/>
  <c r="AA61" i="23"/>
  <c r="AA60" i="23"/>
  <c r="AA59" i="23"/>
  <c r="AA58" i="23"/>
  <c r="AA57" i="23"/>
  <c r="AA56" i="23"/>
  <c r="AA164" i="22"/>
  <c r="AG164" i="22" s="1"/>
  <c r="AA160" i="22"/>
  <c r="AG160" i="22" s="1"/>
  <c r="AA156" i="22"/>
  <c r="AG156" i="22" s="1"/>
  <c r="AA167" i="22"/>
  <c r="AG167" i="22" s="1"/>
  <c r="AA163" i="22"/>
  <c r="AG163" i="22" s="1"/>
  <c r="AA159" i="22"/>
  <c r="AG159" i="22" s="1"/>
  <c r="AA155" i="22"/>
  <c r="AG155" i="22" s="1"/>
  <c r="AA166" i="22"/>
  <c r="AG166" i="22" s="1"/>
  <c r="AA162" i="22"/>
  <c r="AG162" i="22" s="1"/>
  <c r="AA158" i="22"/>
  <c r="AG158" i="22" s="1"/>
  <c r="AA157" i="22"/>
  <c r="AG157" i="22" s="1"/>
  <c r="AA161" i="22"/>
  <c r="AG161" i="22" s="1"/>
  <c r="AA165" i="22"/>
  <c r="AG165" i="22" s="1"/>
  <c r="AA140" i="22"/>
  <c r="AG140" i="22" s="1"/>
  <c r="AA136" i="22"/>
  <c r="AG136" i="22" s="1"/>
  <c r="AA132" i="22"/>
  <c r="AG132" i="22" s="1"/>
  <c r="AA128" i="22"/>
  <c r="AG128" i="22" s="1"/>
  <c r="AA124" i="22"/>
  <c r="AG124" i="22" s="1"/>
  <c r="AA120" i="22"/>
  <c r="AG120" i="22" s="1"/>
  <c r="AA116" i="22"/>
  <c r="AG116" i="22" s="1"/>
  <c r="AA112" i="22"/>
  <c r="AG112" i="22" s="1"/>
  <c r="AA108" i="22"/>
  <c r="AG108" i="22" s="1"/>
  <c r="AA139" i="22"/>
  <c r="AG139" i="22" s="1"/>
  <c r="AA135" i="22"/>
  <c r="AG135" i="22" s="1"/>
  <c r="AA131" i="22"/>
  <c r="AG131" i="22" s="1"/>
  <c r="AA127" i="22"/>
  <c r="AG127" i="22" s="1"/>
  <c r="AA123" i="22"/>
  <c r="AG123" i="22" s="1"/>
  <c r="AA119" i="22"/>
  <c r="AG119" i="22" s="1"/>
  <c r="AA115" i="22"/>
  <c r="AG115" i="22" s="1"/>
  <c r="AA111" i="22"/>
  <c r="AG111" i="22" s="1"/>
  <c r="AA138" i="22"/>
  <c r="AG138" i="22" s="1"/>
  <c r="AA134" i="22"/>
  <c r="AG134" i="22" s="1"/>
  <c r="AA130" i="22"/>
  <c r="AG130" i="22" s="1"/>
  <c r="AA126" i="22"/>
  <c r="AG126" i="22" s="1"/>
  <c r="AA122" i="22"/>
  <c r="AG122" i="22" s="1"/>
  <c r="AA118" i="22"/>
  <c r="AG118" i="22" s="1"/>
  <c r="AA114" i="22"/>
  <c r="AG114" i="22" s="1"/>
  <c r="AA110" i="22"/>
  <c r="AG110" i="22" s="1"/>
  <c r="AA141" i="22"/>
  <c r="AG141" i="22" s="1"/>
  <c r="AA125" i="22"/>
  <c r="AG125" i="22" s="1"/>
  <c r="AA109" i="22"/>
  <c r="AG109" i="22" s="1"/>
  <c r="AA129" i="22"/>
  <c r="AG129" i="22" s="1"/>
  <c r="AA137" i="22"/>
  <c r="AG137" i="22" s="1"/>
  <c r="AA121" i="22"/>
  <c r="AG121" i="22" s="1"/>
  <c r="AA113" i="22"/>
  <c r="AG113" i="22" s="1"/>
  <c r="AA133" i="22"/>
  <c r="AG133" i="22" s="1"/>
  <c r="AA117" i="22"/>
  <c r="AG117" i="22" s="1"/>
  <c r="AA42" i="23"/>
  <c r="AA248" i="22"/>
  <c r="AG248" i="22" s="1"/>
  <c r="AA244" i="22"/>
  <c r="AG244" i="22" s="1"/>
  <c r="AA240" i="22"/>
  <c r="AG240" i="22" s="1"/>
  <c r="AA236" i="22"/>
  <c r="AG236" i="22" s="1"/>
  <c r="AA247" i="22"/>
  <c r="AG247" i="22" s="1"/>
  <c r="AA243" i="22"/>
  <c r="AG243" i="22" s="1"/>
  <c r="AA239" i="22"/>
  <c r="AG239" i="22" s="1"/>
  <c r="AA246" i="22"/>
  <c r="AG246" i="22" s="1"/>
  <c r="AA242" i="22"/>
  <c r="AG242" i="22" s="1"/>
  <c r="AA238" i="22"/>
  <c r="AG238" i="22" s="1"/>
  <c r="AA237" i="22"/>
  <c r="AG237" i="22" s="1"/>
  <c r="AA249" i="22"/>
  <c r="AG249" i="22" s="1"/>
  <c r="AA241" i="22"/>
  <c r="AG241" i="22" s="1"/>
  <c r="AA245" i="22"/>
  <c r="AG245" i="22" s="1"/>
  <c r="S53" i="9"/>
  <c r="Q43" i="12"/>
  <c r="X5" i="12"/>
  <c r="X5" i="13"/>
  <c r="AB45" i="12"/>
  <c r="AB45" i="13"/>
  <c r="AB45" i="11"/>
  <c r="AB45" i="10"/>
  <c r="Q43" i="13"/>
  <c r="AP6" i="22" l="1"/>
  <c r="AQ6" i="22" s="1"/>
  <c r="AP4" i="22"/>
  <c r="AQ4" i="22" s="1"/>
  <c r="AP3" i="22"/>
  <c r="AP5" i="22"/>
  <c r="AQ5" i="22" s="1"/>
  <c r="Y5" i="13"/>
  <c r="X43" i="13"/>
  <c r="Y5" i="12"/>
  <c r="X43" i="12"/>
  <c r="AQ3" i="22" l="1"/>
  <c r="AP8" i="22"/>
  <c r="Y43" i="12"/>
  <c r="AB5" i="12"/>
  <c r="AB43" i="12" s="1"/>
  <c r="Y43" i="13"/>
  <c r="AB5" i="13"/>
  <c r="G10" i="27" l="1"/>
  <c r="G5" i="27"/>
  <c r="AA106" i="22"/>
  <c r="AG106" i="22" s="1"/>
  <c r="AA102" i="22"/>
  <c r="AG102" i="22" s="1"/>
  <c r="AA98" i="22"/>
  <c r="AG98" i="22" s="1"/>
  <c r="AA40" i="23"/>
  <c r="AA36" i="23"/>
  <c r="AA32" i="23"/>
  <c r="AA107" i="22"/>
  <c r="AG107" i="22" s="1"/>
  <c r="AA103" i="22"/>
  <c r="AG103" i="22" s="1"/>
  <c r="AA99" i="22"/>
  <c r="AG99" i="22" s="1"/>
  <c r="AA39" i="23"/>
  <c r="AA35" i="23"/>
  <c r="AA11" i="23"/>
  <c r="AA104" i="22"/>
  <c r="AG104" i="22" s="1"/>
  <c r="AA100" i="22"/>
  <c r="AG100" i="22" s="1"/>
  <c r="AA76" i="22"/>
  <c r="AG76" i="22" s="1"/>
  <c r="AA38" i="23"/>
  <c r="AA34" i="23"/>
  <c r="AA10" i="23"/>
  <c r="AA5" i="23"/>
  <c r="AA5" i="22"/>
  <c r="AG5" i="22" s="1"/>
  <c r="AA4" i="23"/>
  <c r="AA4" i="22"/>
  <c r="AG4" i="22" s="1"/>
  <c r="AA105" i="22"/>
  <c r="AG105" i="22" s="1"/>
  <c r="AA101" i="22"/>
  <c r="AG101" i="22" s="1"/>
  <c r="AA77" i="22"/>
  <c r="AG77" i="22" s="1"/>
  <c r="AA41" i="23"/>
  <c r="AA37" i="23"/>
  <c r="AA33" i="23"/>
  <c r="AA70" i="22"/>
  <c r="AG70" i="22" s="1"/>
  <c r="AA66" i="22"/>
  <c r="AG66" i="22" s="1"/>
  <c r="AA62" i="22"/>
  <c r="AG62" i="22" s="1"/>
  <c r="AA58" i="22"/>
  <c r="AG58" i="22" s="1"/>
  <c r="AA54" i="22"/>
  <c r="AG54" i="22" s="1"/>
  <c r="AA50" i="22"/>
  <c r="AG50" i="22" s="1"/>
  <c r="AA55" i="22"/>
  <c r="AG55" i="22" s="1"/>
  <c r="AA69" i="22"/>
  <c r="AG69" i="22" s="1"/>
  <c r="AA65" i="22"/>
  <c r="AG65" i="22" s="1"/>
  <c r="AA61" i="22"/>
  <c r="AG61" i="22" s="1"/>
  <c r="AA57" i="22"/>
  <c r="AG57" i="22" s="1"/>
  <c r="AA53" i="22"/>
  <c r="AG53" i="22" s="1"/>
  <c r="AA71" i="22"/>
  <c r="AG71" i="22" s="1"/>
  <c r="AA67" i="22"/>
  <c r="AG67" i="22" s="1"/>
  <c r="AA63" i="22"/>
  <c r="AG63" i="22" s="1"/>
  <c r="AA59" i="22"/>
  <c r="AG59" i="22" s="1"/>
  <c r="AA51" i="22"/>
  <c r="AG51" i="22" s="1"/>
  <c r="AA68" i="22"/>
  <c r="AG68" i="22" s="1"/>
  <c r="AA64" i="22"/>
  <c r="AG64" i="22" s="1"/>
  <c r="AA60" i="22"/>
  <c r="AG60" i="22" s="1"/>
  <c r="AA56" i="22"/>
  <c r="AG56" i="22" s="1"/>
  <c r="AA52" i="22"/>
  <c r="AG52" i="22" s="1"/>
  <c r="AQ8" i="22"/>
  <c r="AB43" i="13"/>
  <c r="AP2" i="22" l="1"/>
  <c r="AP7" i="22" s="1"/>
  <c r="AQ2" i="22" l="1"/>
  <c r="AQ7" i="22"/>
  <c r="AP9" i="22"/>
  <c r="AQ9" i="22" s="1"/>
  <c r="AM34" i="9" l="1"/>
  <c r="T34" i="9"/>
  <c r="N34" i="9"/>
  <c r="AF285" i="22"/>
  <c r="Z285" i="22"/>
  <c r="AG47" i="9"/>
  <c r="AE47" i="9"/>
  <c r="AO47" i="9"/>
  <c r="AF38" i="8"/>
  <c r="AP38" i="8"/>
  <c r="AF265" i="22"/>
  <c r="Z265" i="22"/>
  <c r="AG39" i="8"/>
  <c r="AE39" i="8"/>
  <c r="AO39" i="8"/>
  <c r="AE4" i="23"/>
  <c r="Z4" i="23"/>
  <c r="AE70" i="23"/>
  <c r="Z70" i="23"/>
  <c r="AF207" i="22"/>
  <c r="Z207" i="22"/>
  <c r="AF269" i="22"/>
  <c r="Z269" i="22"/>
  <c r="AL6" i="9"/>
  <c r="AJ6" i="9"/>
  <c r="AF8" i="22"/>
  <c r="Z8" i="22"/>
  <c r="AM6" i="9"/>
  <c r="T6" i="9"/>
  <c r="N6" i="9"/>
  <c r="AE92" i="23"/>
  <c r="Z92" i="23"/>
  <c r="AL39" i="8"/>
  <c r="AJ39" i="8"/>
  <c r="AM18" i="8"/>
  <c r="T18" i="8"/>
  <c r="N18" i="8"/>
  <c r="AM29" i="8"/>
  <c r="T29" i="8"/>
  <c r="N29" i="8"/>
  <c r="AF279" i="22"/>
  <c r="Z279" i="22"/>
  <c r="AF282" i="22"/>
  <c r="Z282" i="22"/>
  <c r="AL7" i="22"/>
  <c r="AK7" i="22"/>
  <c r="AF176" i="22"/>
  <c r="Z176" i="22"/>
  <c r="AF220" i="22"/>
  <c r="Z220" i="22"/>
  <c r="AF24" i="22"/>
  <c r="Z24" i="22"/>
  <c r="AL51" i="9"/>
  <c r="AJ51" i="9"/>
  <c r="AL50" i="9"/>
  <c r="AJ50" i="9"/>
  <c r="AF135" i="22"/>
  <c r="Z135" i="22"/>
  <c r="AM19" i="9"/>
  <c r="T19" i="9"/>
  <c r="N19" i="9"/>
  <c r="AM15" i="9"/>
  <c r="T15" i="9"/>
  <c r="N15" i="9"/>
  <c r="AF142" i="22"/>
  <c r="Z142" i="22"/>
  <c r="AE20" i="23"/>
  <c r="Z20" i="23"/>
  <c r="U14" i="27"/>
  <c r="AM32" i="7"/>
  <c r="R14" i="27"/>
  <c r="AM40" i="9"/>
  <c r="T40" i="9"/>
  <c r="N40" i="9"/>
  <c r="AG46" i="9"/>
  <c r="AE46" i="9"/>
  <c r="AO46" i="9"/>
  <c r="AE52" i="23"/>
  <c r="Z52" i="23"/>
  <c r="AF39" i="9"/>
  <c r="AP39" i="9"/>
  <c r="AG25" i="9"/>
  <c r="AE25" i="9"/>
  <c r="AO25" i="9"/>
  <c r="AF109" i="22"/>
  <c r="Z109" i="22"/>
  <c r="AF3" i="22"/>
  <c r="Z3" i="22"/>
  <c r="AF30" i="9"/>
  <c r="AP30" i="9"/>
  <c r="AE37" i="23"/>
  <c r="Z37" i="23"/>
  <c r="AL42" i="8"/>
  <c r="AJ42" i="8"/>
  <c r="AF158" i="22"/>
  <c r="Z158" i="22"/>
  <c r="AK45" i="9"/>
  <c r="AK45" i="6"/>
  <c r="AK45" i="7"/>
  <c r="AK45" i="8"/>
  <c r="AE46" i="23"/>
  <c r="Z46" i="23"/>
  <c r="AF190" i="22"/>
  <c r="Z190" i="22"/>
  <c r="AE105" i="23"/>
  <c r="Z105" i="23"/>
  <c r="AF72" i="22"/>
  <c r="Z72" i="22"/>
  <c r="AF305" i="22"/>
  <c r="Z305" i="22"/>
  <c r="AE38" i="22"/>
  <c r="Y38" i="22"/>
  <c r="AJ8" i="23"/>
  <c r="AE43" i="23"/>
  <c r="Z43" i="23"/>
  <c r="AE42" i="22"/>
  <c r="Y42" i="22"/>
  <c r="AV7" i="22"/>
  <c r="AU7" i="22"/>
  <c r="AG9" i="9"/>
  <c r="AE9" i="9"/>
  <c r="AO9" i="9"/>
  <c r="AL36" i="8"/>
  <c r="AJ36" i="8"/>
  <c r="AD29" i="23"/>
  <c r="Y29" i="23"/>
  <c r="AD23" i="23"/>
  <c r="Y23" i="23"/>
  <c r="AF214" i="22"/>
  <c r="Z214" i="22"/>
  <c r="AF30" i="8"/>
  <c r="AP30" i="8"/>
  <c r="AF351" i="22"/>
  <c r="Z351" i="22"/>
  <c r="AL14" i="9"/>
  <c r="AJ14" i="9"/>
  <c r="AE13" i="23"/>
  <c r="Z13" i="23"/>
  <c r="R33" i="27"/>
  <c r="AM51" i="7"/>
  <c r="U33" i="27"/>
  <c r="AF349" i="22"/>
  <c r="Z349" i="22"/>
  <c r="AE115" i="23"/>
  <c r="Z115" i="23"/>
  <c r="AF229" i="22"/>
  <c r="Z229" i="22"/>
  <c r="AL25" i="8"/>
  <c r="AJ25" i="8"/>
  <c r="AE7" i="23"/>
  <c r="Z7" i="23"/>
  <c r="AF171" i="22"/>
  <c r="Z171" i="22"/>
  <c r="R6" i="27"/>
  <c r="AM18" i="7"/>
  <c r="U6" i="27"/>
  <c r="AF201" i="22"/>
  <c r="Z201" i="22"/>
  <c r="AF9" i="9"/>
  <c r="AP9" i="9"/>
  <c r="AL40" i="9"/>
  <c r="AJ40" i="9"/>
  <c r="AO17" i="9"/>
  <c r="AE17" i="9"/>
  <c r="AG17" i="9"/>
  <c r="AE85" i="23"/>
  <c r="Z85" i="23"/>
  <c r="AF204" i="22"/>
  <c r="Z204" i="22"/>
  <c r="AG33" i="9"/>
  <c r="AE33" i="9"/>
  <c r="AO33" i="9"/>
  <c r="AF249" i="22"/>
  <c r="Z249" i="22"/>
  <c r="AM24" i="8"/>
  <c r="T24" i="8"/>
  <c r="N24" i="8"/>
  <c r="AF125" i="22"/>
  <c r="Z125" i="22"/>
  <c r="AL33" i="9"/>
  <c r="AJ33" i="9"/>
  <c r="AF348" i="22"/>
  <c r="Z348" i="22"/>
  <c r="AF334" i="22"/>
  <c r="Z334" i="22"/>
  <c r="AF264" i="22"/>
  <c r="Z264" i="22"/>
  <c r="AM38" i="9"/>
  <c r="T38" i="9"/>
  <c r="N38" i="9"/>
  <c r="AF271" i="22"/>
  <c r="Z271" i="22"/>
  <c r="AE62" i="23"/>
  <c r="Z62" i="23"/>
  <c r="AF298" i="22"/>
  <c r="Z298" i="22"/>
  <c r="AG26" i="8"/>
  <c r="AE26" i="8"/>
  <c r="AO26" i="8"/>
  <c r="AK28" i="8"/>
  <c r="AK28" i="6"/>
  <c r="AK28" i="7"/>
  <c r="AK28" i="9"/>
  <c r="AE89" i="23"/>
  <c r="Z89" i="23"/>
  <c r="AF186" i="22"/>
  <c r="Z186" i="22"/>
  <c r="AF23" i="22"/>
  <c r="Z23" i="22"/>
  <c r="AM44" i="9"/>
  <c r="T44" i="9"/>
  <c r="N44" i="9"/>
  <c r="AK13" i="9"/>
  <c r="AK13" i="6"/>
  <c r="AK13" i="7"/>
  <c r="AK13" i="8"/>
  <c r="AF180" i="22"/>
  <c r="Z180" i="22"/>
  <c r="AE74" i="22"/>
  <c r="Y74" i="22"/>
  <c r="AE75" i="23"/>
  <c r="Z75" i="23"/>
  <c r="AG30" i="9"/>
  <c r="AE30" i="9"/>
  <c r="AO30" i="9"/>
  <c r="AF216" i="22"/>
  <c r="Z216" i="22"/>
  <c r="AG38" i="8"/>
  <c r="AE38" i="8"/>
  <c r="AO38" i="8"/>
  <c r="AL46" i="9"/>
  <c r="AJ46" i="9"/>
  <c r="AF255" i="22"/>
  <c r="Z255" i="22"/>
  <c r="AF107" i="22"/>
  <c r="Z107" i="22"/>
  <c r="AM42" i="8"/>
  <c r="T42" i="8"/>
  <c r="N42" i="8"/>
  <c r="AL40" i="7"/>
  <c r="AD5" i="23"/>
  <c r="Y5" i="23"/>
  <c r="AE21" i="23"/>
  <c r="Z21" i="23"/>
  <c r="AK35" i="9"/>
  <c r="AK35" i="6"/>
  <c r="AK35" i="7"/>
  <c r="AK35" i="8"/>
  <c r="AF185" i="22"/>
  <c r="Z185" i="22"/>
  <c r="AE47" i="23"/>
  <c r="Z47" i="23"/>
  <c r="N12" i="8"/>
  <c r="T12" i="8"/>
  <c r="AM12" i="8"/>
  <c r="AK46" i="9"/>
  <c r="AK46" i="6"/>
  <c r="AK46" i="7"/>
  <c r="AK46" i="8"/>
  <c r="AG7" i="9"/>
  <c r="AE7" i="9"/>
  <c r="AO7" i="9"/>
  <c r="AK5" i="9"/>
  <c r="AK5" i="7"/>
  <c r="AK5" i="8"/>
  <c r="AF7" i="22"/>
  <c r="Z7" i="22"/>
  <c r="AF22" i="9"/>
  <c r="AP22" i="9"/>
  <c r="AE35" i="22"/>
  <c r="Y35" i="22"/>
  <c r="AG8" i="8"/>
  <c r="AE8" i="8"/>
  <c r="AO8" i="8"/>
  <c r="AK42" i="8"/>
  <c r="AK42" i="6"/>
  <c r="AK42" i="7"/>
  <c r="AK42" i="9"/>
  <c r="AK33" i="9"/>
  <c r="AK33" i="6"/>
  <c r="AK33" i="7"/>
  <c r="AK33" i="8"/>
  <c r="AF161" i="22"/>
  <c r="Z161" i="22"/>
  <c r="AF323" i="22"/>
  <c r="Z323" i="22"/>
  <c r="AG41" i="8"/>
  <c r="AE41" i="8"/>
  <c r="AO41" i="8"/>
  <c r="AF17" i="22"/>
  <c r="Z17" i="22"/>
  <c r="AF173" i="22"/>
  <c r="Z173" i="22"/>
  <c r="AF286" i="22"/>
  <c r="Z286" i="22"/>
  <c r="AF26" i="9"/>
  <c r="AP26" i="9"/>
  <c r="AF281" i="22"/>
  <c r="Z281" i="22"/>
  <c r="AG47" i="8"/>
  <c r="AE47" i="8"/>
  <c r="AO47" i="8"/>
  <c r="AF71" i="22"/>
  <c r="Z71" i="22"/>
  <c r="AE44" i="23"/>
  <c r="Z44" i="23"/>
  <c r="AF44" i="8"/>
  <c r="AP44" i="8"/>
  <c r="AF231" i="22"/>
  <c r="Z231" i="22"/>
  <c r="AF12" i="22"/>
  <c r="Z12" i="22"/>
  <c r="AL43" i="9"/>
  <c r="AJ43" i="9"/>
  <c r="U18" i="27"/>
  <c r="AM35" i="7"/>
  <c r="R18" i="27"/>
  <c r="AE69" i="23"/>
  <c r="Z69" i="23"/>
  <c r="AF315" i="22"/>
  <c r="Z315" i="22"/>
  <c r="U10" i="27"/>
  <c r="AM26" i="7"/>
  <c r="R10" i="27"/>
  <c r="AF80" i="22"/>
  <c r="Z80" i="22"/>
  <c r="AK53" i="7"/>
  <c r="AK58" i="7"/>
  <c r="AK15" i="9"/>
  <c r="AK15" i="7"/>
  <c r="AK15" i="8"/>
  <c r="AL17" i="8"/>
  <c r="AJ17" i="8"/>
  <c r="AM32" i="8"/>
  <c r="T32" i="8"/>
  <c r="N32" i="8"/>
  <c r="AF242" i="22"/>
  <c r="Z242" i="22"/>
  <c r="AF350" i="22"/>
  <c r="Z350" i="22"/>
  <c r="AF144" i="22"/>
  <c r="Z144" i="22"/>
  <c r="AL16" i="9"/>
  <c r="AJ16" i="9"/>
  <c r="AL14" i="7"/>
  <c r="AG48" i="8"/>
  <c r="AE48" i="8"/>
  <c r="AO48" i="8"/>
  <c r="AF133" i="22"/>
  <c r="Z133" i="22"/>
  <c r="AE88" i="23"/>
  <c r="Z88" i="23"/>
  <c r="AF310" i="22"/>
  <c r="Z310" i="22"/>
  <c r="AF309" i="22"/>
  <c r="Z309" i="22"/>
  <c r="AF21" i="9"/>
  <c r="AP21" i="9"/>
  <c r="AL37" i="8"/>
  <c r="AJ37" i="8"/>
  <c r="AG21" i="8"/>
  <c r="AE21" i="8"/>
  <c r="AO21" i="8"/>
  <c r="AE78" i="23"/>
  <c r="Z78" i="23"/>
  <c r="AL26" i="9"/>
  <c r="AJ26" i="9"/>
  <c r="AL50" i="8"/>
  <c r="AJ50" i="8"/>
  <c r="AE132" i="23"/>
  <c r="Z132" i="23"/>
  <c r="AF52" i="22"/>
  <c r="Z52" i="22"/>
  <c r="AE127" i="23"/>
  <c r="Z127" i="23"/>
  <c r="AF9" i="22"/>
  <c r="Z9" i="22"/>
  <c r="AF319" i="22"/>
  <c r="Z319" i="22"/>
  <c r="AL13" i="9"/>
  <c r="AJ13" i="9"/>
  <c r="AK22" i="8"/>
  <c r="AK22" i="6"/>
  <c r="AK22" i="7"/>
  <c r="AK22" i="9"/>
  <c r="N34" i="8"/>
  <c r="T34" i="8"/>
  <c r="AM34" i="8"/>
  <c r="AK29" i="9"/>
  <c r="AK29" i="6"/>
  <c r="AK29" i="7"/>
  <c r="AK29" i="8"/>
  <c r="U20" i="27"/>
  <c r="R15" i="27"/>
  <c r="U25" i="27"/>
  <c r="R20" i="27"/>
  <c r="U15" i="27"/>
  <c r="AM42" i="7"/>
  <c r="R25" i="27"/>
  <c r="AF263" i="22"/>
  <c r="Z263" i="22"/>
  <c r="AK20" i="9"/>
  <c r="AK20" i="6"/>
  <c r="AK20" i="7"/>
  <c r="AK20" i="8"/>
  <c r="AL24" i="9"/>
  <c r="AJ24" i="9"/>
  <c r="AF333" i="22"/>
  <c r="Z333" i="22"/>
  <c r="AL15" i="8"/>
  <c r="AJ15" i="8"/>
  <c r="N37" i="8"/>
  <c r="T37" i="8"/>
  <c r="AM37" i="8"/>
  <c r="N13" i="9"/>
  <c r="T13" i="9"/>
  <c r="AM13" i="9"/>
  <c r="AJ14" i="7"/>
  <c r="AJ14" i="8"/>
  <c r="AL14" i="8"/>
  <c r="AK21" i="8"/>
  <c r="AK21" i="6"/>
  <c r="AK21" i="7"/>
  <c r="AK21" i="9"/>
  <c r="AF18" i="9"/>
  <c r="AP18" i="9"/>
  <c r="AF166" i="22"/>
  <c r="Z166" i="22"/>
  <c r="AL38" i="8"/>
  <c r="AJ38" i="8"/>
  <c r="AF209" i="22"/>
  <c r="Z209" i="22"/>
  <c r="AK17" i="9"/>
  <c r="AK17" i="6"/>
  <c r="AK17" i="7"/>
  <c r="AK17" i="8"/>
  <c r="AM28" i="8"/>
  <c r="T28" i="8"/>
  <c r="N28" i="8"/>
  <c r="AL42" i="9"/>
  <c r="AJ42" i="9"/>
  <c r="AF48" i="8"/>
  <c r="AP48" i="8"/>
  <c r="AO41" i="9"/>
  <c r="AE41" i="9"/>
  <c r="AG41" i="9"/>
  <c r="AF217" i="22"/>
  <c r="Z217" i="22"/>
  <c r="AF165" i="22"/>
  <c r="Z165" i="22"/>
  <c r="AF43" i="8"/>
  <c r="AP43" i="8"/>
  <c r="AF42" i="8"/>
  <c r="AP42" i="8"/>
  <c r="AL4" i="22"/>
  <c r="AK4" i="22"/>
  <c r="AD24" i="23"/>
  <c r="Y24" i="23"/>
  <c r="AF23" i="9"/>
  <c r="AP23" i="9"/>
  <c r="AE123" i="23"/>
  <c r="Z123" i="23"/>
  <c r="AF316" i="22"/>
  <c r="Z316" i="22"/>
  <c r="AF48" i="9"/>
  <c r="AP48" i="9"/>
  <c r="AM43" i="9"/>
  <c r="T43" i="9"/>
  <c r="N43" i="9"/>
  <c r="AF69" i="22"/>
  <c r="Z69" i="22"/>
  <c r="AK24" i="9"/>
  <c r="AK24" i="6"/>
  <c r="AK24" i="7"/>
  <c r="AK24" i="8"/>
  <c r="AF327" i="22"/>
  <c r="Z327" i="22"/>
  <c r="AK53" i="9"/>
  <c r="AM40" i="8"/>
  <c r="T40" i="8"/>
  <c r="N40" i="8"/>
  <c r="AE100" i="23"/>
  <c r="Z100" i="23"/>
  <c r="AE66" i="23"/>
  <c r="Z66" i="23"/>
  <c r="AO11" i="8"/>
  <c r="AE11" i="8"/>
  <c r="AG11" i="8"/>
  <c r="AK2" i="22"/>
  <c r="AL2" i="22"/>
  <c r="AF128" i="22"/>
  <c r="Z128" i="22"/>
  <c r="AF248" i="22"/>
  <c r="Z248" i="22"/>
  <c r="AE73" i="23"/>
  <c r="Z73" i="23"/>
  <c r="N20" i="9"/>
  <c r="T20" i="9"/>
  <c r="AM20" i="9"/>
  <c r="AJ42" i="7"/>
  <c r="AL42" i="7"/>
  <c r="AF318" i="22"/>
  <c r="Z318" i="22"/>
  <c r="AO23" i="9"/>
  <c r="AE23" i="9"/>
  <c r="AG23" i="9"/>
  <c r="AE91" i="22"/>
  <c r="Y91" i="22"/>
  <c r="AF41" i="9"/>
  <c r="AP41" i="9"/>
  <c r="AL25" i="7"/>
  <c r="AF300" i="22"/>
  <c r="Z300" i="22"/>
  <c r="AF120" i="22"/>
  <c r="Z120" i="22"/>
  <c r="AF232" i="22"/>
  <c r="Z232" i="22"/>
  <c r="AE19" i="23"/>
  <c r="Z19" i="23"/>
  <c r="AF106" i="22"/>
  <c r="Z106" i="22"/>
  <c r="AL26" i="7"/>
  <c r="AF134" i="22"/>
  <c r="Z134" i="22"/>
  <c r="AF10" i="8"/>
  <c r="AP10" i="8"/>
  <c r="AE11" i="23"/>
  <c r="Z11" i="23"/>
  <c r="AF196" i="22"/>
  <c r="Z196" i="22"/>
  <c r="AF8" i="9"/>
  <c r="AP8" i="9"/>
  <c r="N14" i="8"/>
  <c r="T14" i="8"/>
  <c r="AM14" i="8"/>
  <c r="AF160" i="22"/>
  <c r="Z160" i="22"/>
  <c r="AF116" i="22"/>
  <c r="Z116" i="22"/>
  <c r="AF270" i="22"/>
  <c r="Z270" i="22"/>
  <c r="AE63" i="23"/>
  <c r="Z63" i="23"/>
  <c r="AL46" i="7"/>
  <c r="AE34" i="22"/>
  <c r="Y34" i="22"/>
  <c r="AF256" i="22"/>
  <c r="Z256" i="22"/>
  <c r="N16" i="9"/>
  <c r="T16" i="9"/>
  <c r="AM16" i="9"/>
  <c r="AF127" i="22"/>
  <c r="Z127" i="22"/>
  <c r="AL32" i="9"/>
  <c r="AJ32" i="9"/>
  <c r="AE90" i="22"/>
  <c r="Y90" i="22"/>
  <c r="AF174" i="22"/>
  <c r="Z174" i="22"/>
  <c r="AE3" i="22"/>
  <c r="Y3" i="22"/>
  <c r="AF110" i="22"/>
  <c r="Z110" i="22"/>
  <c r="AF101" i="22"/>
  <c r="Z101" i="22"/>
  <c r="AF4" i="22"/>
  <c r="Z4" i="22"/>
  <c r="AF100" i="22"/>
  <c r="Z100" i="22"/>
  <c r="AF258" i="22"/>
  <c r="Z258" i="22"/>
  <c r="AG10" i="9"/>
  <c r="AE10" i="9"/>
  <c r="AO10" i="9"/>
  <c r="AL6" i="8"/>
  <c r="AJ6" i="8"/>
  <c r="AE71" i="23"/>
  <c r="Z71" i="23"/>
  <c r="AM18" i="9"/>
  <c r="T18" i="9"/>
  <c r="N18" i="9"/>
  <c r="AF63" i="22"/>
  <c r="Z63" i="22"/>
  <c r="AL15" i="7"/>
  <c r="AE37" i="22"/>
  <c r="Y37" i="22"/>
  <c r="AF102" i="22"/>
  <c r="Z102" i="22"/>
  <c r="AV5" i="22"/>
  <c r="AU5" i="22"/>
  <c r="AL49" i="8"/>
  <c r="AJ49" i="8"/>
  <c r="AL10" i="8"/>
  <c r="AJ10" i="8"/>
  <c r="AE72" i="23"/>
  <c r="Z72" i="23"/>
  <c r="AL27" i="8"/>
  <c r="AJ27" i="8"/>
  <c r="AF28" i="8"/>
  <c r="AP28" i="8"/>
  <c r="AE58" i="8"/>
  <c r="AF58" i="8"/>
  <c r="AK39" i="8"/>
  <c r="AK39" i="6"/>
  <c r="AK39" i="7"/>
  <c r="AK39" i="9"/>
  <c r="AE47" i="22"/>
  <c r="Y47" i="22"/>
  <c r="AE90" i="23"/>
  <c r="Z90" i="23"/>
  <c r="AF5" i="9"/>
  <c r="AP5" i="9"/>
  <c r="AD27" i="23"/>
  <c r="Y27" i="23"/>
  <c r="AF335" i="22"/>
  <c r="Z335" i="22"/>
  <c r="AL21" i="8"/>
  <c r="AJ21" i="8"/>
  <c r="AP53" i="9"/>
  <c r="AP55" i="9"/>
  <c r="AF168" i="22"/>
  <c r="Z168" i="22"/>
  <c r="AE131" i="23"/>
  <c r="Z131" i="23"/>
  <c r="AE86" i="23"/>
  <c r="Z86" i="23"/>
  <c r="AO34" i="9"/>
  <c r="AE34" i="9"/>
  <c r="AG34" i="9"/>
  <c r="AF317" i="22"/>
  <c r="Z317" i="22"/>
  <c r="AF292" i="22"/>
  <c r="Z292" i="22"/>
  <c r="AF297" i="22"/>
  <c r="Z297" i="22"/>
  <c r="AJ26" i="7"/>
  <c r="AJ26" i="8"/>
  <c r="AL26" i="8"/>
  <c r="AF234" i="22"/>
  <c r="Z234" i="22"/>
  <c r="R19" i="27"/>
  <c r="AM36" i="7"/>
  <c r="U19" i="27"/>
  <c r="F49" i="5"/>
  <c r="F48" i="5"/>
  <c r="AM53" i="9"/>
  <c r="AK23" i="9"/>
  <c r="AK23" i="6"/>
  <c r="AK23" i="7"/>
  <c r="AK23" i="8"/>
  <c r="AF76" i="22"/>
  <c r="Z76" i="22"/>
  <c r="AF336" i="22"/>
  <c r="Z336" i="22"/>
  <c r="AE113" i="23"/>
  <c r="Z113" i="23"/>
  <c r="AL6" i="22"/>
  <c r="AK6" i="22"/>
  <c r="U12" i="27"/>
  <c r="AM30" i="7"/>
  <c r="R12" i="27"/>
  <c r="AF137" i="22"/>
  <c r="Z137" i="22"/>
  <c r="AF228" i="22"/>
  <c r="Z228" i="22"/>
  <c r="AF328" i="22"/>
  <c r="Z328" i="22"/>
  <c r="AJ46" i="7"/>
  <c r="AJ46" i="8"/>
  <c r="AL46" i="8"/>
  <c r="AG42" i="9"/>
  <c r="AE42" i="9"/>
  <c r="AO42" i="9"/>
  <c r="AK16" i="9"/>
  <c r="AK16" i="7"/>
  <c r="AK16" i="8"/>
  <c r="AF50" i="22"/>
  <c r="Z50" i="22"/>
  <c r="AF211" i="22"/>
  <c r="Z211" i="22"/>
  <c r="AF15" i="8"/>
  <c r="AP15" i="8"/>
  <c r="AF330" i="22"/>
  <c r="Z330" i="22"/>
  <c r="AL53" i="8"/>
  <c r="AF195" i="22"/>
  <c r="Z195" i="22"/>
  <c r="AL21" i="9"/>
  <c r="AJ21" i="9"/>
  <c r="AF122" i="22"/>
  <c r="Z122" i="22"/>
  <c r="AF130" i="22"/>
  <c r="Z130" i="22"/>
  <c r="AF37" i="9"/>
  <c r="AP37" i="9"/>
  <c r="AJ21" i="7"/>
  <c r="AL21" i="7"/>
  <c r="AF19" i="22"/>
  <c r="Z19" i="22"/>
  <c r="AE49" i="22"/>
  <c r="Y49" i="22"/>
  <c r="AL35" i="9"/>
  <c r="AJ35" i="9"/>
  <c r="AE65" i="23"/>
  <c r="Z65" i="23"/>
  <c r="AF81" i="22"/>
  <c r="Z81" i="22"/>
  <c r="AL8" i="9"/>
  <c r="AJ8" i="9"/>
  <c r="AF329" i="22"/>
  <c r="Z329" i="22"/>
  <c r="N25" i="8"/>
  <c r="T25" i="8"/>
  <c r="AM25" i="8"/>
  <c r="AJ50" i="7"/>
  <c r="AL50" i="7"/>
  <c r="AF155" i="22"/>
  <c r="Z155" i="22"/>
  <c r="AG43" i="8"/>
  <c r="AE43" i="8"/>
  <c r="AO43" i="8"/>
  <c r="AE39" i="23"/>
  <c r="Z39" i="23"/>
  <c r="AF313" i="22"/>
  <c r="Z313" i="22"/>
  <c r="AD25" i="23"/>
  <c r="Y25" i="23"/>
  <c r="AF22" i="8"/>
  <c r="AP22" i="8"/>
  <c r="AF14" i="8"/>
  <c r="AP14" i="8"/>
  <c r="AF40" i="9"/>
  <c r="AP40" i="9"/>
  <c r="AK18" i="8"/>
  <c r="AK18" i="6"/>
  <c r="AK18" i="7"/>
  <c r="AK18" i="9"/>
  <c r="Q34" i="27"/>
  <c r="AM15" i="7"/>
  <c r="T34" i="27"/>
  <c r="AF157" i="22"/>
  <c r="Z157" i="22"/>
  <c r="AM20" i="8"/>
  <c r="N20" i="8"/>
  <c r="T20" i="8"/>
  <c r="AE120" i="23"/>
  <c r="Z120" i="23"/>
  <c r="AF114" i="22"/>
  <c r="Z114" i="22"/>
  <c r="AE5" i="22"/>
  <c r="Y5" i="22"/>
  <c r="AF31" i="9"/>
  <c r="AP31" i="9"/>
  <c r="AF21" i="8"/>
  <c r="AP21" i="8"/>
  <c r="AF177" i="22"/>
  <c r="Z177" i="22"/>
  <c r="AF164" i="22"/>
  <c r="Z164" i="22"/>
  <c r="AF230" i="22"/>
  <c r="Z230" i="22"/>
  <c r="AF61" i="22"/>
  <c r="Z61" i="22"/>
  <c r="AF60" i="22"/>
  <c r="Z60" i="22"/>
  <c r="AK12" i="9"/>
  <c r="AK12" i="6"/>
  <c r="AK12" i="7"/>
  <c r="AK12" i="8"/>
  <c r="AF27" i="8"/>
  <c r="AP27" i="8"/>
  <c r="AE118" i="23"/>
  <c r="Z118" i="23"/>
  <c r="AF51" i="8"/>
  <c r="AP51" i="8"/>
  <c r="AF16" i="22"/>
  <c r="Z16" i="22"/>
  <c r="AF288" i="22"/>
  <c r="Z288" i="22"/>
  <c r="AO33" i="8"/>
  <c r="AE33" i="8"/>
  <c r="AG33" i="8"/>
  <c r="AE109" i="23"/>
  <c r="Z109" i="23"/>
  <c r="AF16" i="8"/>
  <c r="AP16" i="8"/>
  <c r="AL47" i="8"/>
  <c r="AJ47" i="8"/>
  <c r="AM36" i="8"/>
  <c r="T36" i="8"/>
  <c r="N36" i="8"/>
  <c r="AF42" i="9"/>
  <c r="AP42" i="9"/>
  <c r="AF14" i="22"/>
  <c r="Z14" i="22"/>
  <c r="AF59" i="22"/>
  <c r="Z59" i="22"/>
  <c r="AG40" i="9"/>
  <c r="AE40" i="9"/>
  <c r="AO40" i="9"/>
  <c r="AE40" i="22"/>
  <c r="Y40" i="22"/>
  <c r="AM26" i="9"/>
  <c r="T26" i="9"/>
  <c r="N26" i="9"/>
  <c r="AE108" i="23"/>
  <c r="Z108" i="23"/>
  <c r="AF19" i="9"/>
  <c r="AP19" i="9"/>
  <c r="AF153" i="22"/>
  <c r="Z153" i="22"/>
  <c r="Y2" i="22"/>
  <c r="AE2" i="22"/>
  <c r="AU2" i="22"/>
  <c r="AV2" i="22"/>
  <c r="AK27" i="9"/>
  <c r="AK27" i="6"/>
  <c r="AK27" i="7"/>
  <c r="AK27" i="8"/>
  <c r="AL45" i="9"/>
  <c r="AJ45" i="9"/>
  <c r="AE93" i="23"/>
  <c r="Z93" i="23"/>
  <c r="AK48" i="9"/>
  <c r="AK48" i="6"/>
  <c r="AK48" i="7"/>
  <c r="AK48" i="8"/>
  <c r="AM53" i="8"/>
  <c r="E48" i="5"/>
  <c r="E49" i="5"/>
  <c r="AF294" i="22"/>
  <c r="Z294" i="22"/>
  <c r="AL36" i="7"/>
  <c r="AO15" i="8"/>
  <c r="AE15" i="8"/>
  <c r="AG15" i="8"/>
  <c r="AL31" i="8"/>
  <c r="AJ31" i="8"/>
  <c r="AK19" i="8"/>
  <c r="AK19" i="6"/>
  <c r="AK19" i="7"/>
  <c r="AK19" i="9"/>
  <c r="AF247" i="22"/>
  <c r="Z247" i="22"/>
  <c r="AE3" i="23"/>
  <c r="Z3" i="23"/>
  <c r="AO37" i="9"/>
  <c r="AE37" i="9"/>
  <c r="AG37" i="9"/>
  <c r="N21" i="9"/>
  <c r="T21" i="9"/>
  <c r="AM21" i="9"/>
  <c r="N28" i="9"/>
  <c r="T28" i="9"/>
  <c r="AM28" i="9"/>
  <c r="AD4" i="23"/>
  <c r="Y4" i="23"/>
  <c r="AE84" i="23"/>
  <c r="Z84" i="23"/>
  <c r="AF312" i="22"/>
  <c r="Z312" i="22"/>
  <c r="AK11" i="9"/>
  <c r="AK11" i="6"/>
  <c r="AK11" i="7"/>
  <c r="AK11" i="8"/>
  <c r="I8" i="27"/>
  <c r="I7" i="27"/>
  <c r="F8" i="27"/>
  <c r="AM8" i="7"/>
  <c r="F7" i="27"/>
  <c r="AK49" i="8"/>
  <c r="AK49" i="6"/>
  <c r="AK49" i="7"/>
  <c r="AK49" i="9"/>
  <c r="U5" i="27"/>
  <c r="AM17" i="7"/>
  <c r="R5" i="27"/>
  <c r="AJ36" i="7"/>
  <c r="AJ36" i="9"/>
  <c r="AL36" i="9"/>
  <c r="AJ6" i="7"/>
  <c r="AL6" i="7"/>
  <c r="AE96" i="22"/>
  <c r="Y96" i="22"/>
  <c r="AJ40" i="7"/>
  <c r="AJ40" i="8"/>
  <c r="AL40" i="8"/>
  <c r="AF167" i="22"/>
  <c r="Z167" i="22"/>
  <c r="N7" i="8"/>
  <c r="T7" i="8"/>
  <c r="AM7" i="8"/>
  <c r="AF268" i="22"/>
  <c r="Z268" i="22"/>
  <c r="AE128" i="23"/>
  <c r="Z128" i="23"/>
  <c r="AE98" i="23"/>
  <c r="Z98" i="23"/>
  <c r="AE14" i="23"/>
  <c r="Z14" i="23"/>
  <c r="AO40" i="8"/>
  <c r="AE40" i="8"/>
  <c r="AG40" i="8"/>
  <c r="AF245" i="22"/>
  <c r="Z245" i="22"/>
  <c r="AF200" i="22"/>
  <c r="Z200" i="22"/>
  <c r="AF277" i="22"/>
  <c r="Z277" i="22"/>
  <c r="AF320" i="22"/>
  <c r="Z320" i="22"/>
  <c r="AF35" i="9"/>
  <c r="AP35" i="9"/>
  <c r="AL30" i="9"/>
  <c r="AJ30" i="9"/>
  <c r="AM10" i="8"/>
  <c r="T10" i="8"/>
  <c r="N10" i="8"/>
  <c r="AE36" i="22"/>
  <c r="Y36" i="22"/>
  <c r="AL12" i="8"/>
  <c r="AJ12" i="8"/>
  <c r="AF113" i="22"/>
  <c r="Z113" i="22"/>
  <c r="AE74" i="23"/>
  <c r="Z74" i="23"/>
  <c r="AF221" i="22"/>
  <c r="Z221" i="22"/>
  <c r="AF20" i="9"/>
  <c r="AP20" i="9"/>
  <c r="AE89" i="22"/>
  <c r="Y89" i="22"/>
  <c r="AE45" i="23"/>
  <c r="Z45" i="23"/>
  <c r="AE101" i="23"/>
  <c r="Z101" i="23"/>
  <c r="AF12" i="9"/>
  <c r="AP12" i="9"/>
  <c r="AF51" i="22"/>
  <c r="Z51" i="22"/>
  <c r="AE46" i="22"/>
  <c r="Y46" i="22"/>
  <c r="AK43" i="9"/>
  <c r="AK43" i="6"/>
  <c r="AK43" i="7"/>
  <c r="AK43" i="8"/>
  <c r="AL10" i="9"/>
  <c r="AJ10" i="9"/>
  <c r="AF26" i="22"/>
  <c r="Z26" i="22"/>
  <c r="AJ25" i="7"/>
  <c r="AJ25" i="9"/>
  <c r="AL25" i="9"/>
  <c r="N16" i="8"/>
  <c r="T16" i="8"/>
  <c r="AM16" i="8"/>
  <c r="AO10" i="8"/>
  <c r="AE10" i="8"/>
  <c r="AG10" i="8"/>
  <c r="AO13" i="8"/>
  <c r="AE13" i="8"/>
  <c r="AG13" i="8"/>
  <c r="AO23" i="8"/>
  <c r="AE23" i="8"/>
  <c r="AG23" i="8"/>
  <c r="AE119" i="23"/>
  <c r="Z119" i="23"/>
  <c r="AF233" i="22"/>
  <c r="Z233" i="22"/>
  <c r="AE33" i="22"/>
  <c r="Y33" i="22"/>
  <c r="AF147" i="22"/>
  <c r="Z147" i="22"/>
  <c r="AO28" i="9"/>
  <c r="AE28" i="9"/>
  <c r="AG28" i="9"/>
  <c r="AF172" i="22"/>
  <c r="Z172" i="22"/>
  <c r="AF47" i="8"/>
  <c r="AP47" i="8"/>
  <c r="AF151" i="22"/>
  <c r="Z151" i="22"/>
  <c r="AL31" i="7"/>
  <c r="AE48" i="22"/>
  <c r="Y48" i="22"/>
  <c r="AG42" i="8"/>
  <c r="AE42" i="8"/>
  <c r="T42" i="7"/>
  <c r="AO42" i="8"/>
  <c r="AF141" i="22"/>
  <c r="Z141" i="22"/>
  <c r="AM42" i="9"/>
  <c r="T42" i="9"/>
  <c r="AJ42" i="6"/>
  <c r="N42" i="6"/>
  <c r="N42" i="7"/>
  <c r="N42" i="9"/>
  <c r="AF32" i="9"/>
  <c r="AP32" i="9"/>
  <c r="N46" i="8"/>
  <c r="T46" i="8"/>
  <c r="AM46" i="8"/>
  <c r="AL35" i="8"/>
  <c r="AJ35" i="8"/>
  <c r="H15" i="27"/>
  <c r="AM9" i="7"/>
  <c r="E15" i="27"/>
  <c r="AF250" i="22"/>
  <c r="Z250" i="22"/>
  <c r="AF213" i="22"/>
  <c r="Z213" i="22"/>
  <c r="AF25" i="22"/>
  <c r="Z25" i="22"/>
  <c r="AL8" i="7"/>
  <c r="AG19" i="9"/>
  <c r="AE19" i="9"/>
  <c r="AO19" i="9"/>
  <c r="AE133" i="23"/>
  <c r="Z133" i="23"/>
  <c r="AF146" i="22"/>
  <c r="Z146" i="22"/>
  <c r="AM41" i="9"/>
  <c r="T41" i="9"/>
  <c r="N41" i="9"/>
  <c r="N58" i="7"/>
  <c r="N53" i="7"/>
  <c r="AF253" i="22"/>
  <c r="Z253" i="22"/>
  <c r="AJ31" i="7"/>
  <c r="AJ31" i="9"/>
  <c r="AL31" i="9"/>
  <c r="AL29" i="8"/>
  <c r="AJ29" i="8"/>
  <c r="AE32" i="22"/>
  <c r="Y32" i="22"/>
  <c r="AE55" i="23"/>
  <c r="Z55" i="23"/>
  <c r="AF83" i="22"/>
  <c r="Z83" i="22"/>
  <c r="AO14" i="9"/>
  <c r="AE14" i="9"/>
  <c r="AG14" i="9"/>
  <c r="AF34" i="9"/>
  <c r="AP34" i="9"/>
  <c r="AF289" i="22"/>
  <c r="Z289" i="22"/>
  <c r="AF241" i="22"/>
  <c r="Z241" i="22"/>
  <c r="AF103" i="22"/>
  <c r="Z103" i="22"/>
  <c r="AO25" i="8"/>
  <c r="AE25" i="8"/>
  <c r="AG25" i="8"/>
  <c r="AM33" i="8"/>
  <c r="T33" i="8"/>
  <c r="N33" i="8"/>
  <c r="AF139" i="22"/>
  <c r="Z139" i="22"/>
  <c r="AG27" i="8"/>
  <c r="AE27" i="8"/>
  <c r="AO27" i="8"/>
  <c r="AD9" i="23"/>
  <c r="Y9" i="23"/>
  <c r="AJ8" i="7"/>
  <c r="AJ8" i="8"/>
  <c r="AL8" i="8"/>
  <c r="N38" i="8"/>
  <c r="T38" i="8"/>
  <c r="AM38" i="8"/>
  <c r="AL16" i="7"/>
  <c r="AF246" i="22"/>
  <c r="Z246" i="22"/>
  <c r="AO45" i="9"/>
  <c r="AE45" i="9"/>
  <c r="AG45" i="9"/>
  <c r="AE18" i="23"/>
  <c r="Z18" i="23"/>
  <c r="AE57" i="23"/>
  <c r="Z57" i="23"/>
  <c r="AG17" i="8"/>
  <c r="AE17" i="8"/>
  <c r="AO17" i="8"/>
  <c r="AP46" i="8"/>
  <c r="AF46" i="8"/>
  <c r="AL44" i="9"/>
  <c r="AJ44" i="9"/>
  <c r="AJ15" i="7"/>
  <c r="AJ15" i="9"/>
  <c r="AL15" i="9"/>
  <c r="AF105" i="22"/>
  <c r="Z105" i="22"/>
  <c r="AK40" i="9"/>
  <c r="AK40" i="6"/>
  <c r="AK40" i="7"/>
  <c r="AK40" i="8"/>
  <c r="AL20" i="8"/>
  <c r="AJ20" i="8"/>
  <c r="AF262" i="22"/>
  <c r="Z262" i="22"/>
  <c r="AO11" i="9"/>
  <c r="AE11" i="9"/>
  <c r="AG11" i="9"/>
  <c r="AF99" i="22"/>
  <c r="Z99" i="22"/>
  <c r="T35" i="27"/>
  <c r="AM16" i="7"/>
  <c r="Q35" i="27"/>
  <c r="Z222" i="22"/>
  <c r="AF222" i="22"/>
  <c r="AK5" i="22"/>
  <c r="AL5" i="22"/>
  <c r="AE40" i="23"/>
  <c r="Z40" i="23"/>
  <c r="R24" i="27"/>
  <c r="AM40" i="7"/>
  <c r="U24" i="27"/>
  <c r="AM6" i="8"/>
  <c r="T6" i="8"/>
  <c r="N6" i="8"/>
  <c r="AE75" i="22"/>
  <c r="Y75" i="22"/>
  <c r="AP46" i="9"/>
  <c r="AF46" i="9"/>
  <c r="AG30" i="8"/>
  <c r="AE30" i="8"/>
  <c r="T30" i="7"/>
  <c r="AO30" i="8"/>
  <c r="AF6" i="22"/>
  <c r="Z6" i="22"/>
  <c r="AF275" i="22"/>
  <c r="Z275" i="22"/>
  <c r="AF293" i="22"/>
  <c r="Z293" i="22"/>
  <c r="AF280" i="22"/>
  <c r="Z280" i="22"/>
  <c r="AG36" i="8"/>
  <c r="AE36" i="8"/>
  <c r="AO36" i="8"/>
  <c r="AF178" i="22"/>
  <c r="Z178" i="22"/>
  <c r="AL23" i="8"/>
  <c r="AJ23" i="8"/>
  <c r="AE82" i="23"/>
  <c r="Z82" i="23"/>
  <c r="AF20" i="22"/>
  <c r="Z20" i="22"/>
  <c r="AE51" i="23"/>
  <c r="Z51" i="23"/>
  <c r="AF12" i="8"/>
  <c r="AP12" i="8"/>
  <c r="AL41" i="8"/>
  <c r="AJ41" i="8"/>
  <c r="AG18" i="9"/>
  <c r="AE18" i="9"/>
  <c r="AO18" i="9"/>
  <c r="AK44" i="9"/>
  <c r="AK44" i="6"/>
  <c r="AK44" i="7"/>
  <c r="AK44" i="8"/>
  <c r="AM17" i="8"/>
  <c r="T17" i="8"/>
  <c r="N17" i="8"/>
  <c r="AG31" i="9"/>
  <c r="AE31" i="9"/>
  <c r="AO31" i="9"/>
  <c r="AF199" i="22"/>
  <c r="Z199" i="22"/>
  <c r="AM9" i="8"/>
  <c r="T9" i="8"/>
  <c r="N9" i="8"/>
  <c r="AK34" i="9"/>
  <c r="AK34" i="6"/>
  <c r="AK34" i="7"/>
  <c r="AK34" i="8"/>
  <c r="AF31" i="8"/>
  <c r="AP31" i="8"/>
  <c r="AF10" i="22"/>
  <c r="Z10" i="22"/>
  <c r="AF50" i="9"/>
  <c r="AP50" i="9"/>
  <c r="AF159" i="22"/>
  <c r="Z159" i="22"/>
  <c r="AL28" i="9"/>
  <c r="AJ28" i="9"/>
  <c r="AG20" i="9"/>
  <c r="AE20" i="9"/>
  <c r="AO20" i="9"/>
  <c r="AF274" i="22"/>
  <c r="Z274" i="22"/>
  <c r="AF240" i="22"/>
  <c r="Z240" i="22"/>
  <c r="AM10" i="9"/>
  <c r="T10" i="9"/>
  <c r="N10" i="9"/>
  <c r="AF49" i="8"/>
  <c r="AP49" i="8"/>
  <c r="AG22" i="8"/>
  <c r="AE22" i="8"/>
  <c r="AO22" i="8"/>
  <c r="AE34" i="23"/>
  <c r="Z34" i="23"/>
  <c r="AP9" i="8"/>
  <c r="AF9" i="8"/>
  <c r="N15" i="8"/>
  <c r="T15" i="8"/>
  <c r="AM15" i="8"/>
  <c r="AL44" i="7"/>
  <c r="AM12" i="9"/>
  <c r="T12" i="9"/>
  <c r="N12" i="9"/>
  <c r="AF322" i="22"/>
  <c r="Z322" i="22"/>
  <c r="AM43" i="7"/>
  <c r="AO12" i="8"/>
  <c r="AE12" i="8"/>
  <c r="AG12" i="8"/>
  <c r="AF6" i="8"/>
  <c r="AP6" i="8"/>
  <c r="AF169" i="22"/>
  <c r="Z169" i="22"/>
  <c r="N51" i="9"/>
  <c r="T51" i="9"/>
  <c r="AM51" i="9"/>
  <c r="AE125" i="23"/>
  <c r="Z125" i="23"/>
  <c r="F13" i="27"/>
  <c r="AM13" i="7"/>
  <c r="I13" i="27"/>
  <c r="AF252" i="22"/>
  <c r="Z252" i="22"/>
  <c r="AE88" i="22"/>
  <c r="Y88" i="22"/>
  <c r="AF239" i="22"/>
  <c r="Z239" i="22"/>
  <c r="AF36" i="8"/>
  <c r="AP36" i="8"/>
  <c r="AJ40" i="6"/>
  <c r="N40" i="6"/>
  <c r="N40" i="7"/>
  <c r="T40" i="7"/>
  <c r="AP40" i="8"/>
  <c r="AF40" i="8"/>
  <c r="AG53" i="8"/>
  <c r="AF301" i="22"/>
  <c r="Z301" i="22"/>
  <c r="AF45" i="9"/>
  <c r="AP45" i="9"/>
  <c r="AL53" i="9"/>
  <c r="AL48" i="9"/>
  <c r="AJ48" i="9"/>
  <c r="AJ10" i="7"/>
  <c r="AL10" i="7"/>
  <c r="AF50" i="8"/>
  <c r="AP50" i="8"/>
  <c r="AE126" i="23"/>
  <c r="Z126" i="23"/>
  <c r="AO32" i="9"/>
  <c r="AE32" i="9"/>
  <c r="AG32" i="9"/>
  <c r="AE116" i="23"/>
  <c r="Z116" i="23"/>
  <c r="AL30" i="7"/>
  <c r="AF53" i="8"/>
  <c r="AK26" i="8"/>
  <c r="AK26" i="6"/>
  <c r="AK26" i="7"/>
  <c r="AK26" i="9"/>
  <c r="AE92" i="22"/>
  <c r="Y92" i="22"/>
  <c r="AE129" i="23"/>
  <c r="Z129" i="23"/>
  <c r="N32" i="9"/>
  <c r="T32" i="9"/>
  <c r="AM32" i="9"/>
  <c r="AE30" i="22"/>
  <c r="Y30" i="22"/>
  <c r="AJ44" i="7"/>
  <c r="AJ44" i="8"/>
  <c r="AL44" i="8"/>
  <c r="AF344" i="22"/>
  <c r="Z344" i="22"/>
  <c r="AF148" i="22"/>
  <c r="Z148" i="22"/>
  <c r="AL27" i="9"/>
  <c r="AJ27" i="9"/>
  <c r="AL49" i="9"/>
  <c r="AJ49" i="9"/>
  <c r="AE17" i="23"/>
  <c r="Z17" i="23"/>
  <c r="AE111" i="23"/>
  <c r="Z111" i="23"/>
  <c r="AO44" i="8"/>
  <c r="AE44" i="8"/>
  <c r="AG44" i="8"/>
  <c r="AL11" i="9"/>
  <c r="AJ11" i="9"/>
  <c r="AO20" i="8"/>
  <c r="AE20" i="8"/>
  <c r="AG20" i="8"/>
  <c r="AL7" i="8"/>
  <c r="AJ7" i="8"/>
  <c r="AM45" i="8"/>
  <c r="T45" i="8"/>
  <c r="N45" i="8"/>
  <c r="AF13" i="8"/>
  <c r="AP13" i="8"/>
  <c r="AE106" i="23"/>
  <c r="Z106" i="23"/>
  <c r="AM31" i="8"/>
  <c r="T31" i="8"/>
  <c r="N31" i="8"/>
  <c r="AF22" i="22"/>
  <c r="Z22" i="22"/>
  <c r="AG28" i="8"/>
  <c r="AE28" i="8"/>
  <c r="AO28" i="8"/>
  <c r="AJ27" i="7"/>
  <c r="AL27" i="7"/>
  <c r="AF296" i="22"/>
  <c r="Z296" i="22"/>
  <c r="AE121" i="23"/>
  <c r="Z121" i="23"/>
  <c r="AJ58" i="7"/>
  <c r="AJ53" i="7"/>
  <c r="AJ49" i="7"/>
  <c r="AL49" i="7"/>
  <c r="AF56" i="22"/>
  <c r="Z56" i="22"/>
  <c r="AE4" i="22"/>
  <c r="Y4" i="22"/>
  <c r="AL41" i="9"/>
  <c r="AJ41" i="9"/>
  <c r="AF198" i="22"/>
  <c r="Z198" i="22"/>
  <c r="AF306" i="22"/>
  <c r="Z306" i="22"/>
  <c r="AM27" i="8"/>
  <c r="T27" i="8"/>
  <c r="N27" i="8"/>
  <c r="AF66" i="22"/>
  <c r="Z66" i="22"/>
  <c r="AE97" i="23"/>
  <c r="Z97" i="23"/>
  <c r="AF302" i="22"/>
  <c r="Z302" i="22"/>
  <c r="AF33" i="8"/>
  <c r="AP33" i="8"/>
  <c r="AF331" i="22"/>
  <c r="Z331" i="22"/>
  <c r="AM22" i="9"/>
  <c r="T22" i="9"/>
  <c r="N22" i="9"/>
  <c r="AL29" i="7"/>
  <c r="AF342" i="22"/>
  <c r="Z342" i="22"/>
  <c r="AG15" i="9"/>
  <c r="AE15" i="9"/>
  <c r="AO15" i="9"/>
  <c r="AE97" i="22"/>
  <c r="Y97" i="22"/>
  <c r="T53" i="8"/>
  <c r="AM5" i="8"/>
  <c r="T5" i="8"/>
  <c r="N5" i="8"/>
  <c r="AF129" i="22"/>
  <c r="Z129" i="22"/>
  <c r="AO32" i="8"/>
  <c r="AE32" i="8"/>
  <c r="AG32" i="8"/>
  <c r="AG51" i="8"/>
  <c r="AE51" i="8"/>
  <c r="AO51" i="8"/>
  <c r="AF276" i="22"/>
  <c r="Z276" i="22"/>
  <c r="AL32" i="7"/>
  <c r="N48" i="9"/>
  <c r="T48" i="9"/>
  <c r="AM48" i="9"/>
  <c r="N35" i="8"/>
  <c r="T35" i="8"/>
  <c r="AM35" i="8"/>
  <c r="AE32" i="23"/>
  <c r="Z32" i="23"/>
  <c r="AJ5" i="23"/>
  <c r="AD2" i="23"/>
  <c r="Y2" i="23"/>
  <c r="AD22" i="23"/>
  <c r="Y22" i="23"/>
  <c r="AO43" i="9"/>
  <c r="AE43" i="9"/>
  <c r="AG43" i="9"/>
  <c r="AF235" i="22"/>
  <c r="Z235" i="22"/>
  <c r="AF321" i="22"/>
  <c r="Z321" i="22"/>
  <c r="Y8" i="23"/>
  <c r="AD8" i="23"/>
  <c r="AJ6" i="23"/>
  <c r="AF118" i="22"/>
  <c r="Z118" i="22"/>
  <c r="AF259" i="22"/>
  <c r="Z259" i="22"/>
  <c r="AJ16" i="7"/>
  <c r="AJ16" i="8"/>
  <c r="AL16" i="8"/>
  <c r="AE31" i="22"/>
  <c r="Y31" i="22"/>
  <c r="AF27" i="22"/>
  <c r="Z27" i="22"/>
  <c r="AK41" i="8"/>
  <c r="AK41" i="6"/>
  <c r="AK41" i="7"/>
  <c r="AK41" i="9"/>
  <c r="U22" i="27"/>
  <c r="AM38" i="7"/>
  <c r="R22" i="27"/>
  <c r="AF346" i="22"/>
  <c r="Z346" i="22"/>
  <c r="AD30" i="23"/>
  <c r="Y30" i="23"/>
  <c r="AF324" i="22"/>
  <c r="Z324" i="22"/>
  <c r="AM13" i="8"/>
  <c r="T13" i="8"/>
  <c r="N13" i="8"/>
  <c r="AE102" i="23"/>
  <c r="Z102" i="23"/>
  <c r="AF6" i="9"/>
  <c r="AP6" i="9"/>
  <c r="AF340" i="22"/>
  <c r="Z340" i="22"/>
  <c r="AL47" i="7"/>
  <c r="AK37" i="9"/>
  <c r="AK37" i="6"/>
  <c r="AK37" i="7"/>
  <c r="AK37" i="8"/>
  <c r="AF51" i="9"/>
  <c r="AP51" i="9"/>
  <c r="AF37" i="8"/>
  <c r="AP37" i="8"/>
  <c r="AG29" i="8"/>
  <c r="AE29" i="8"/>
  <c r="AO29" i="8"/>
  <c r="AJ30" i="7"/>
  <c r="AJ30" i="8"/>
  <c r="AL30" i="8"/>
  <c r="AF347" i="22"/>
  <c r="Z347" i="22"/>
  <c r="AF182" i="22"/>
  <c r="Z182" i="22"/>
  <c r="AF85" i="22"/>
  <c r="Z85" i="22"/>
  <c r="AE16" i="23"/>
  <c r="Z16" i="23"/>
  <c r="Z341" i="22"/>
  <c r="AF341" i="22"/>
  <c r="AU6" i="22"/>
  <c r="AV6" i="22"/>
  <c r="AL19" i="9"/>
  <c r="AJ19" i="9"/>
  <c r="AP38" i="9"/>
  <c r="AF38" i="9"/>
  <c r="N53" i="8"/>
  <c r="AF352" i="22"/>
  <c r="Z352" i="22"/>
  <c r="AK6" i="8"/>
  <c r="AK6" i="7"/>
  <c r="AK6" i="9"/>
  <c r="AE45" i="22"/>
  <c r="Y45" i="22"/>
  <c r="AJ32" i="7"/>
  <c r="AJ32" i="8"/>
  <c r="AL32" i="8"/>
  <c r="AG53" i="9"/>
  <c r="AF295" i="22"/>
  <c r="Z295" i="22"/>
  <c r="AF287" i="22"/>
  <c r="Z287" i="22"/>
  <c r="AF18" i="8"/>
  <c r="AP18" i="8"/>
  <c r="T9" i="7"/>
  <c r="AO9" i="8"/>
  <c r="AE9" i="8"/>
  <c r="AG9" i="8"/>
  <c r="AD26" i="23"/>
  <c r="Y26" i="23"/>
  <c r="AE76" i="23"/>
  <c r="Z76" i="23"/>
  <c r="U17" i="27"/>
  <c r="AM34" i="7"/>
  <c r="R17" i="27"/>
  <c r="AK38" i="9"/>
  <c r="AK38" i="6"/>
  <c r="AK38" i="7"/>
  <c r="AK38" i="8"/>
  <c r="U7" i="27"/>
  <c r="AM19" i="7"/>
  <c r="R7" i="27"/>
  <c r="AL22" i="8"/>
  <c r="AJ22" i="8"/>
  <c r="AG22" i="9"/>
  <c r="AE22" i="9"/>
  <c r="AO22" i="9"/>
  <c r="AD3" i="23"/>
  <c r="Y3" i="23"/>
  <c r="AG18" i="8"/>
  <c r="AE18" i="8"/>
  <c r="N18" i="6"/>
  <c r="N18" i="7"/>
  <c r="T18" i="7"/>
  <c r="AO18" i="8"/>
  <c r="AF326" i="22"/>
  <c r="Z326" i="22"/>
  <c r="AF21" i="22"/>
  <c r="Z21" i="22"/>
  <c r="AD31" i="23"/>
  <c r="Y31" i="23"/>
  <c r="AJ47" i="7"/>
  <c r="AJ47" i="9"/>
  <c r="AL47" i="9"/>
  <c r="AF261" i="22"/>
  <c r="Z261" i="22"/>
  <c r="N53" i="9"/>
  <c r="AF179" i="22"/>
  <c r="Z179" i="22"/>
  <c r="AF119" i="22"/>
  <c r="Z119" i="22"/>
  <c r="AO19" i="8"/>
  <c r="AE19" i="8"/>
  <c r="AG19" i="8"/>
  <c r="AF304" i="22"/>
  <c r="Z304" i="22"/>
  <c r="G48" i="5"/>
  <c r="D48" i="5"/>
  <c r="D49" i="5"/>
  <c r="AG27" i="9"/>
  <c r="AE27" i="9"/>
  <c r="AO27" i="9"/>
  <c r="AK14" i="9"/>
  <c r="AK14" i="6"/>
  <c r="AK14" i="7"/>
  <c r="AK14" i="8"/>
  <c r="AF73" i="22"/>
  <c r="Z73" i="22"/>
  <c r="AE43" i="22"/>
  <c r="Y43" i="22"/>
  <c r="AK7" i="9"/>
  <c r="AK7" i="7"/>
  <c r="AK7" i="8"/>
  <c r="AL20" i="7"/>
  <c r="AE42" i="23"/>
  <c r="Z42" i="23"/>
  <c r="AG37" i="8"/>
  <c r="AE37" i="8"/>
  <c r="AO37" i="8"/>
  <c r="AG5" i="8"/>
  <c r="AE5" i="8"/>
  <c r="AO5" i="8"/>
  <c r="AE53" i="8"/>
  <c r="N37" i="9"/>
  <c r="T37" i="9"/>
  <c r="AM37" i="9"/>
  <c r="H6" i="27"/>
  <c r="H8" i="27"/>
  <c r="E6" i="27"/>
  <c r="AM6" i="7"/>
  <c r="E8" i="27"/>
  <c r="AF16" i="9"/>
  <c r="AP16" i="9"/>
  <c r="AF138" i="22"/>
  <c r="Z138" i="22"/>
  <c r="AF194" i="22"/>
  <c r="Z194" i="22"/>
  <c r="AF152" i="22"/>
  <c r="Z152" i="22"/>
  <c r="AF11" i="8"/>
  <c r="AP11" i="8"/>
  <c r="AE35" i="23"/>
  <c r="Z35" i="23"/>
  <c r="AF27" i="9"/>
  <c r="AP27" i="9"/>
  <c r="AK36" i="9"/>
  <c r="AK36" i="6"/>
  <c r="AK36" i="7"/>
  <c r="AK36" i="8"/>
  <c r="AK50" i="8"/>
  <c r="AK50" i="6"/>
  <c r="AK50" i="7"/>
  <c r="AK50" i="9"/>
  <c r="AF143" i="22"/>
  <c r="Z143" i="22"/>
  <c r="AK8" i="8"/>
  <c r="AK8" i="6"/>
  <c r="AK8" i="7"/>
  <c r="AK8" i="9"/>
  <c r="R23" i="27"/>
  <c r="AM39" i="7"/>
  <c r="U23" i="27"/>
  <c r="AE93" i="22"/>
  <c r="Y93" i="22"/>
  <c r="AF210" i="22"/>
  <c r="Z210" i="22"/>
  <c r="AE10" i="23"/>
  <c r="Z10" i="23"/>
  <c r="AM8" i="9"/>
  <c r="T8" i="9"/>
  <c r="N8" i="9"/>
  <c r="AF260" i="22"/>
  <c r="Z260" i="22"/>
  <c r="AF251" i="22"/>
  <c r="Z251" i="22"/>
  <c r="AM48" i="8"/>
  <c r="T48" i="8"/>
  <c r="N48" i="8"/>
  <c r="AL28" i="8"/>
  <c r="AJ28" i="8"/>
  <c r="AJ35" i="7"/>
  <c r="AL35" i="7"/>
  <c r="AO12" i="9"/>
  <c r="AE12" i="9"/>
  <c r="AG12" i="9"/>
  <c r="AF314" i="22"/>
  <c r="Z314" i="22"/>
  <c r="AF36" i="9"/>
  <c r="AP36" i="9"/>
  <c r="AF237" i="22"/>
  <c r="Z237" i="22"/>
  <c r="T53" i="9"/>
  <c r="N5" i="9"/>
  <c r="T5" i="9"/>
  <c r="AM5" i="9"/>
  <c r="AG14" i="8"/>
  <c r="AE14" i="8"/>
  <c r="AO14" i="8"/>
  <c r="AV3" i="22"/>
  <c r="AG46" i="8"/>
  <c r="AO46" i="8"/>
  <c r="AE46" i="8"/>
  <c r="N14" i="9"/>
  <c r="T14" i="9"/>
  <c r="AM14" i="9"/>
  <c r="AE94" i="22"/>
  <c r="Y94" i="22"/>
  <c r="AL39" i="7"/>
  <c r="AF337" i="22"/>
  <c r="Z337" i="22"/>
  <c r="AF224" i="22"/>
  <c r="Z224" i="22"/>
  <c r="AF257" i="22"/>
  <c r="Z257" i="22"/>
  <c r="AF53" i="22"/>
  <c r="Z53" i="22"/>
  <c r="AL18" i="9"/>
  <c r="AJ18" i="9"/>
  <c r="AJ20" i="7"/>
  <c r="AJ20" i="9"/>
  <c r="AL20" i="9"/>
  <c r="AL17" i="7"/>
  <c r="N19" i="8"/>
  <c r="T19" i="8"/>
  <c r="AM19" i="8"/>
  <c r="AF187" i="22"/>
  <c r="Z187" i="22"/>
  <c r="AF181" i="22"/>
  <c r="Z181" i="22"/>
  <c r="AF208" i="22"/>
  <c r="Z208" i="22"/>
  <c r="N23" i="8"/>
  <c r="T23" i="8"/>
  <c r="AM23" i="8"/>
  <c r="N30" i="9"/>
  <c r="T30" i="9"/>
  <c r="AM30" i="9"/>
  <c r="AO16" i="8"/>
  <c r="AE16" i="8"/>
  <c r="AG16" i="8"/>
  <c r="AL45" i="7"/>
  <c r="AL33" i="7"/>
  <c r="AE38" i="23"/>
  <c r="Z38" i="23"/>
  <c r="AM51" i="8"/>
  <c r="N51" i="8"/>
  <c r="T51" i="8"/>
  <c r="AF11" i="22"/>
  <c r="Z11" i="22"/>
  <c r="AL22" i="7"/>
  <c r="AE134" i="23"/>
  <c r="Z134" i="23"/>
  <c r="AM26" i="8"/>
  <c r="T26" i="8"/>
  <c r="N26" i="8"/>
  <c r="L69" i="6"/>
  <c r="AF29" i="9"/>
  <c r="AP29" i="9"/>
  <c r="AF290" i="22"/>
  <c r="Z290" i="22"/>
  <c r="AF23" i="8"/>
  <c r="AP23" i="8"/>
  <c r="N22" i="8"/>
  <c r="T22" i="8"/>
  <c r="AM22" i="8"/>
  <c r="AK32" i="8"/>
  <c r="AK32" i="6"/>
  <c r="AK32" i="7"/>
  <c r="AK32" i="9"/>
  <c r="N11" i="8"/>
  <c r="T11" i="8"/>
  <c r="AM11" i="8"/>
  <c r="AF35" i="8"/>
  <c r="AP35" i="8"/>
  <c r="AF136" i="22"/>
  <c r="Z136" i="22"/>
  <c r="T27" i="7"/>
  <c r="AM27" i="7"/>
  <c r="AJ39" i="7"/>
  <c r="AJ39" i="9"/>
  <c r="AL39" i="9"/>
  <c r="AE61" i="23"/>
  <c r="Z61" i="23"/>
  <c r="N29" i="9"/>
  <c r="T29" i="9"/>
  <c r="AM29" i="9"/>
  <c r="AF17" i="8"/>
  <c r="AP17" i="8"/>
  <c r="AF58" i="7"/>
  <c r="AM53" i="7"/>
  <c r="AE58" i="7"/>
  <c r="AK51" i="8"/>
  <c r="AK51" i="6"/>
  <c r="AK51" i="7"/>
  <c r="AK51" i="9"/>
  <c r="AL18" i="7"/>
  <c r="AJ17" i="7"/>
  <c r="AJ17" i="9"/>
  <c r="AL17" i="9"/>
  <c r="N37" i="6"/>
  <c r="N37" i="7"/>
  <c r="T37" i="7"/>
  <c r="AM37" i="7"/>
  <c r="AF54" i="22"/>
  <c r="Z54" i="22"/>
  <c r="N50" i="8"/>
  <c r="T50" i="8"/>
  <c r="AM50" i="8"/>
  <c r="AE68" i="23"/>
  <c r="Z68" i="23"/>
  <c r="AF131" i="22"/>
  <c r="Z131" i="22"/>
  <c r="H7" i="27"/>
  <c r="E5" i="27"/>
  <c r="E7" i="27"/>
  <c r="AM5" i="7"/>
  <c r="H5" i="27"/>
  <c r="AJ41" i="7"/>
  <c r="AL41" i="7"/>
  <c r="AF154" i="22"/>
  <c r="Z154" i="22"/>
  <c r="AE2" i="23"/>
  <c r="Z2" i="23"/>
  <c r="AE79" i="23"/>
  <c r="Z79" i="23"/>
  <c r="AO6" i="8"/>
  <c r="AE6" i="8"/>
  <c r="AG6" i="8"/>
  <c r="AF77" i="22"/>
  <c r="Z77" i="22"/>
  <c r="AJ45" i="7"/>
  <c r="AJ45" i="8"/>
  <c r="AL45" i="8"/>
  <c r="AE41" i="23"/>
  <c r="Z41" i="23"/>
  <c r="AJ33" i="7"/>
  <c r="AJ33" i="8"/>
  <c r="AL33" i="8"/>
  <c r="AF13" i="22"/>
  <c r="Z13" i="22"/>
  <c r="AE81" i="23"/>
  <c r="Z81" i="23"/>
  <c r="AF197" i="22"/>
  <c r="Z197" i="22"/>
  <c r="AL9" i="7"/>
  <c r="AF189" i="22"/>
  <c r="Z189" i="22"/>
  <c r="AK53" i="8"/>
  <c r="AE29" i="22"/>
  <c r="Y29" i="22"/>
  <c r="AF192" i="22"/>
  <c r="Z192" i="22"/>
  <c r="AF162" i="22"/>
  <c r="Z162" i="22"/>
  <c r="AE124" i="23"/>
  <c r="Z124" i="23"/>
  <c r="AE112" i="23"/>
  <c r="Z112" i="23"/>
  <c r="AF87" i="22"/>
  <c r="Z87" i="22"/>
  <c r="AE104" i="23"/>
  <c r="Z104" i="23"/>
  <c r="AF104" i="22"/>
  <c r="Z104" i="22"/>
  <c r="AF345" i="22"/>
  <c r="Z345" i="22"/>
  <c r="AO8" i="9"/>
  <c r="AE8" i="9"/>
  <c r="AG8" i="9"/>
  <c r="AM41" i="8"/>
  <c r="T41" i="8"/>
  <c r="N41" i="8"/>
  <c r="AF20" i="8"/>
  <c r="AP20" i="8"/>
  <c r="AO26" i="9"/>
  <c r="AE26" i="9"/>
  <c r="AG26" i="9"/>
  <c r="AE110" i="23"/>
  <c r="Z110" i="23"/>
  <c r="AM35" i="9"/>
  <c r="N35" i="9"/>
  <c r="T35" i="9"/>
  <c r="AE64" i="23"/>
  <c r="Z64" i="23"/>
  <c r="N36" i="9"/>
  <c r="T36" i="9"/>
  <c r="AM36" i="9"/>
  <c r="AE5" i="23"/>
  <c r="Z5" i="23"/>
  <c r="AF188" i="22"/>
  <c r="Z188" i="22"/>
  <c r="AE39" i="22"/>
  <c r="Y39" i="22"/>
  <c r="AG50" i="9"/>
  <c r="AE50" i="9"/>
  <c r="AO50" i="9"/>
  <c r="AL43" i="7"/>
  <c r="AM44" i="7"/>
  <c r="AF244" i="22"/>
  <c r="Z244" i="22"/>
  <c r="AM45" i="9"/>
  <c r="T45" i="9"/>
  <c r="N45" i="9"/>
  <c r="AM25" i="9"/>
  <c r="T25" i="9"/>
  <c r="N25" i="9"/>
  <c r="AF212" i="22"/>
  <c r="Z212" i="22"/>
  <c r="AG51" i="9"/>
  <c r="AE51" i="9"/>
  <c r="N51" i="6"/>
  <c r="N51" i="7"/>
  <c r="T51" i="7"/>
  <c r="AO51" i="9"/>
  <c r="AF15" i="22"/>
  <c r="Z15" i="22"/>
  <c r="AF34" i="8"/>
  <c r="AP34" i="8"/>
  <c r="AE96" i="23"/>
  <c r="Z96" i="23"/>
  <c r="AE53" i="23"/>
  <c r="Z53" i="23"/>
  <c r="AM43" i="8"/>
  <c r="T43" i="8"/>
  <c r="N43" i="8"/>
  <c r="AF7" i="8"/>
  <c r="AP7" i="8"/>
  <c r="AJ28" i="7"/>
  <c r="AL28" i="7"/>
  <c r="AM30" i="8"/>
  <c r="T30" i="8"/>
  <c r="N30" i="8"/>
  <c r="AF58" i="22"/>
  <c r="Z58" i="22"/>
  <c r="L63" i="6"/>
  <c r="AG49" i="8"/>
  <c r="AE49" i="8"/>
  <c r="AO49" i="8"/>
  <c r="AF338" i="22"/>
  <c r="Z338" i="22"/>
  <c r="AL53" i="7"/>
  <c r="AL5" i="9"/>
  <c r="AJ5" i="9"/>
  <c r="AJ53" i="9"/>
  <c r="AF191" i="22"/>
  <c r="Z191" i="22"/>
  <c r="AE117" i="23"/>
  <c r="Z117" i="23"/>
  <c r="AE33" i="23"/>
  <c r="Z33" i="23"/>
  <c r="AF150" i="22"/>
  <c r="Z150" i="22"/>
  <c r="AE95" i="23"/>
  <c r="Z95" i="23"/>
  <c r="AF84" i="22"/>
  <c r="Z84" i="22"/>
  <c r="AP10" i="9"/>
  <c r="AF10" i="9"/>
  <c r="AO49" i="9"/>
  <c r="AE49" i="9"/>
  <c r="AG49" i="9"/>
  <c r="AF272" i="22"/>
  <c r="Z272" i="22"/>
  <c r="AF170" i="22"/>
  <c r="Z170" i="22"/>
  <c r="AE59" i="23"/>
  <c r="Z59" i="23"/>
  <c r="N49" i="8"/>
  <c r="T49" i="8"/>
  <c r="AM49" i="8"/>
  <c r="AE122" i="23"/>
  <c r="Z122" i="23"/>
  <c r="AF184" i="22"/>
  <c r="Z184" i="22"/>
  <c r="AO53" i="8"/>
  <c r="AO55" i="8"/>
  <c r="AF218" i="22"/>
  <c r="Z218" i="22"/>
  <c r="AE114" i="23"/>
  <c r="Z114" i="23"/>
  <c r="AL9" i="22"/>
  <c r="AK9" i="22"/>
  <c r="AF266" i="22"/>
  <c r="Z266" i="22"/>
  <c r="AF124" i="22"/>
  <c r="Z124" i="22"/>
  <c r="AJ29" i="7"/>
  <c r="AJ29" i="9"/>
  <c r="AL29" i="9"/>
  <c r="AF65" i="22"/>
  <c r="Z65" i="22"/>
  <c r="AL51" i="7"/>
  <c r="N34" i="6"/>
  <c r="N34" i="7"/>
  <c r="T34" i="7"/>
  <c r="AO34" i="8"/>
  <c r="AE34" i="8"/>
  <c r="AG34" i="8"/>
  <c r="AP33" i="9"/>
  <c r="AF33" i="9"/>
  <c r="AF311" i="22"/>
  <c r="Z311" i="22"/>
  <c r="AE77" i="23"/>
  <c r="Z77" i="23"/>
  <c r="N17" i="9"/>
  <c r="T17" i="9"/>
  <c r="AM17" i="9"/>
  <c r="AE44" i="22"/>
  <c r="Y44" i="22"/>
  <c r="AO24" i="9"/>
  <c r="AE24" i="9"/>
  <c r="AG24" i="9"/>
  <c r="AE28" i="22"/>
  <c r="Y28" i="22"/>
  <c r="AF15" i="9"/>
  <c r="N15" i="7"/>
  <c r="T15" i="7"/>
  <c r="AP15" i="9"/>
  <c r="AJ22" i="7"/>
  <c r="AJ22" i="9"/>
  <c r="AL22" i="9"/>
  <c r="AL5" i="7"/>
  <c r="AJ9" i="8"/>
  <c r="AL9" i="8"/>
  <c r="AF68" i="22"/>
  <c r="Z68" i="22"/>
  <c r="AF64" i="22"/>
  <c r="Z64" i="22"/>
  <c r="AE94" i="23"/>
  <c r="Z94" i="23"/>
  <c r="AK31" i="9"/>
  <c r="AK31" i="6"/>
  <c r="AK31" i="7"/>
  <c r="AK31" i="8"/>
  <c r="N9" i="7"/>
  <c r="N9" i="9"/>
  <c r="T9" i="9"/>
  <c r="AM9" i="9"/>
  <c r="AF45" i="8"/>
  <c r="AP45" i="8"/>
  <c r="AF175" i="22"/>
  <c r="Z175" i="22"/>
  <c r="AF149" i="22"/>
  <c r="Z149" i="22"/>
  <c r="AV8" i="22"/>
  <c r="AK30" i="9"/>
  <c r="AK30" i="6"/>
  <c r="AK30" i="7"/>
  <c r="AK30" i="8"/>
  <c r="AF132" i="22"/>
  <c r="Z132" i="22"/>
  <c r="AF126" i="22"/>
  <c r="Z126" i="22"/>
  <c r="AF225" i="22"/>
  <c r="Z225" i="22"/>
  <c r="AE50" i="23"/>
  <c r="Z50" i="23"/>
  <c r="AF86" i="22"/>
  <c r="Z86" i="22"/>
  <c r="AM7" i="9"/>
  <c r="T7" i="9"/>
  <c r="N7" i="9"/>
  <c r="N19" i="6"/>
  <c r="N19" i="7"/>
  <c r="T19" i="7"/>
  <c r="AP19" i="8"/>
  <c r="AF19" i="8"/>
  <c r="AK8" i="22"/>
  <c r="AL8" i="22"/>
  <c r="N50" i="9"/>
  <c r="T50" i="9"/>
  <c r="AM50" i="9"/>
  <c r="AE49" i="23"/>
  <c r="Z49" i="23"/>
  <c r="AF325" i="22"/>
  <c r="Z325" i="22"/>
  <c r="AF49" i="9"/>
  <c r="AP49" i="9"/>
  <c r="AM28" i="7"/>
  <c r="AE83" i="23"/>
  <c r="Z83" i="23"/>
  <c r="AF183" i="22"/>
  <c r="Z183" i="22"/>
  <c r="N21" i="8"/>
  <c r="T21" i="8"/>
  <c r="AM21" i="8"/>
  <c r="AF140" i="22"/>
  <c r="Z140" i="22"/>
  <c r="AF273" i="22"/>
  <c r="Z273" i="22"/>
  <c r="AE87" i="23"/>
  <c r="Z87" i="23"/>
  <c r="AJ51" i="6"/>
  <c r="AJ51" i="7"/>
  <c r="AJ51" i="8"/>
  <c r="AL51" i="8"/>
  <c r="AK25" i="9"/>
  <c r="AK25" i="6"/>
  <c r="AK25" i="7"/>
  <c r="AK25" i="8"/>
  <c r="AO39" i="9"/>
  <c r="AE39" i="9"/>
  <c r="AG39" i="9"/>
  <c r="AP47" i="9"/>
  <c r="AF47" i="9"/>
  <c r="AM29" i="7"/>
  <c r="AF112" i="22"/>
  <c r="Z112" i="22"/>
  <c r="AF67" i="22"/>
  <c r="Z67" i="22"/>
  <c r="AF284" i="22"/>
  <c r="Z284" i="22"/>
  <c r="AF205" i="22"/>
  <c r="Z205" i="22"/>
  <c r="AF121" i="22"/>
  <c r="Z121" i="22"/>
  <c r="AE107" i="23"/>
  <c r="Z107" i="23"/>
  <c r="U8" i="27"/>
  <c r="AM25" i="7"/>
  <c r="R8" i="27"/>
  <c r="AF278" i="22"/>
  <c r="Z278" i="22"/>
  <c r="AL23" i="7"/>
  <c r="AF243" i="22"/>
  <c r="Z243" i="22"/>
  <c r="AF62" i="22"/>
  <c r="Z62" i="22"/>
  <c r="AL12" i="7"/>
  <c r="AF219" i="22"/>
  <c r="Z219" i="22"/>
  <c r="AV9" i="22"/>
  <c r="AU3" i="22"/>
  <c r="AU8" i="22"/>
  <c r="AU9" i="22"/>
  <c r="G47" i="5"/>
  <c r="AG21" i="9"/>
  <c r="AO21" i="9"/>
  <c r="AE21" i="9"/>
  <c r="I14" i="27"/>
  <c r="AM14" i="7"/>
  <c r="F14" i="27"/>
  <c r="AF123" i="22"/>
  <c r="Z123" i="22"/>
  <c r="AL19" i="7"/>
  <c r="AG36" i="9"/>
  <c r="AE36" i="9"/>
  <c r="AJ36" i="6"/>
  <c r="N36" i="6"/>
  <c r="N36" i="7"/>
  <c r="T36" i="7"/>
  <c r="AO36" i="9"/>
  <c r="AF236" i="22"/>
  <c r="Z236" i="22"/>
  <c r="Z108" i="22"/>
  <c r="AF108" i="22"/>
  <c r="AK3" i="22"/>
  <c r="AL3" i="22"/>
  <c r="R13" i="27"/>
  <c r="AM31" i="7"/>
  <c r="U13" i="27"/>
  <c r="AF79" i="22"/>
  <c r="Z79" i="22"/>
  <c r="AL13" i="7"/>
  <c r="T53" i="7"/>
  <c r="AE15" i="23"/>
  <c r="Z15" i="23"/>
  <c r="AF226" i="22"/>
  <c r="Z226" i="22"/>
  <c r="AJ28" i="6"/>
  <c r="N28" i="6"/>
  <c r="N28" i="7"/>
  <c r="T28" i="7"/>
  <c r="AP28" i="9"/>
  <c r="AF28" i="9"/>
  <c r="AJ26" i="6"/>
  <c r="N26" i="6"/>
  <c r="N26" i="7"/>
  <c r="T26" i="7"/>
  <c r="AP26" i="8"/>
  <c r="AF26" i="8"/>
  <c r="AM31" i="9"/>
  <c r="T31" i="9"/>
  <c r="N31" i="9"/>
  <c r="AM41" i="7"/>
  <c r="AL24" i="7"/>
  <c r="AF98" i="22"/>
  <c r="Z98" i="22"/>
  <c r="AE12" i="23"/>
  <c r="Z12" i="23"/>
  <c r="AP29" i="8"/>
  <c r="AF29" i="8"/>
  <c r="AO5" i="9"/>
  <c r="AE5" i="9"/>
  <c r="AG5" i="9"/>
  <c r="AE53" i="9"/>
  <c r="AJ29" i="6"/>
  <c r="N29" i="6"/>
  <c r="N29" i="7"/>
  <c r="T29" i="7"/>
  <c r="AO29" i="9"/>
  <c r="AE29" i="9"/>
  <c r="AG29" i="9"/>
  <c r="N16" i="7"/>
  <c r="T16" i="7"/>
  <c r="AO16" i="9"/>
  <c r="AE16" i="9"/>
  <c r="AG16" i="9"/>
  <c r="AL48" i="7"/>
  <c r="AJ5" i="7"/>
  <c r="AJ5" i="8"/>
  <c r="AL5" i="8"/>
  <c r="AJ53" i="8"/>
  <c r="AJ23" i="7"/>
  <c r="AJ23" i="9"/>
  <c r="AL23" i="9"/>
  <c r="N47" i="8"/>
  <c r="T47" i="8"/>
  <c r="AM47" i="8"/>
  <c r="AD28" i="23"/>
  <c r="Y28" i="23"/>
  <c r="AJ12" i="7"/>
  <c r="AJ12" i="9"/>
  <c r="AL12" i="9"/>
  <c r="AF117" i="22"/>
  <c r="Z117" i="22"/>
  <c r="AK47" i="9"/>
  <c r="AK47" i="6"/>
  <c r="AK47" i="7"/>
  <c r="AK47" i="8"/>
  <c r="N11" i="9"/>
  <c r="T11" i="9"/>
  <c r="AM11" i="9"/>
  <c r="AF308" i="22"/>
  <c r="Z308" i="22"/>
  <c r="AF343" i="22"/>
  <c r="Z343" i="22"/>
  <c r="AK9" i="8"/>
  <c r="AK9" i="7"/>
  <c r="AK9" i="9"/>
  <c r="AP44" i="9"/>
  <c r="AF44" i="9"/>
  <c r="AJ43" i="7"/>
  <c r="AJ43" i="8"/>
  <c r="AL43" i="8"/>
  <c r="AF2" i="22"/>
  <c r="Z2" i="22"/>
  <c r="AO53" i="9"/>
  <c r="AO55" i="9"/>
  <c r="AO24" i="8"/>
  <c r="AE24" i="8"/>
  <c r="AG24" i="8"/>
  <c r="AO50" i="8"/>
  <c r="AE50" i="8"/>
  <c r="AG50" i="8"/>
  <c r="N49" i="9"/>
  <c r="T49" i="9"/>
  <c r="AM49" i="9"/>
  <c r="AE41" i="22"/>
  <c r="Y41" i="22"/>
  <c r="AP55" i="8"/>
  <c r="AP53" i="8"/>
  <c r="AJ19" i="6"/>
  <c r="AJ19" i="7"/>
  <c r="AJ19" i="8"/>
  <c r="AL19" i="8"/>
  <c r="AM24" i="9"/>
  <c r="T24" i="9"/>
  <c r="N24" i="9"/>
  <c r="AF5" i="22"/>
  <c r="Z5" i="22"/>
  <c r="AJ13" i="7"/>
  <c r="AJ13" i="8"/>
  <c r="AL13" i="8"/>
  <c r="AJ31" i="6"/>
  <c r="N31" i="6"/>
  <c r="N31" i="7"/>
  <c r="T31" i="7"/>
  <c r="AO31" i="8"/>
  <c r="AE31" i="8"/>
  <c r="AG31" i="8"/>
  <c r="N5" i="7"/>
  <c r="T5" i="7"/>
  <c r="AP5" i="8"/>
  <c r="AF5" i="8"/>
  <c r="AF25" i="9"/>
  <c r="AP25" i="9"/>
  <c r="N39" i="9"/>
  <c r="T39" i="9"/>
  <c r="AM39" i="9"/>
  <c r="AE67" i="23"/>
  <c r="Z67" i="23"/>
  <c r="AF145" i="22"/>
  <c r="Z145" i="22"/>
  <c r="AE99" i="23"/>
  <c r="Z99" i="23"/>
  <c r="AF203" i="22"/>
  <c r="Z203" i="22"/>
  <c r="AJ27" i="6"/>
  <c r="N27" i="6"/>
  <c r="N27" i="7"/>
  <c r="N27" i="9"/>
  <c r="T27" i="9"/>
  <c r="AM27" i="9"/>
  <c r="AF111" i="22"/>
  <c r="Z111" i="22"/>
  <c r="AE103" i="23"/>
  <c r="Z103" i="23"/>
  <c r="AJ41" i="6"/>
  <c r="N41" i="6"/>
  <c r="N41" i="7"/>
  <c r="T41" i="7"/>
  <c r="AP41" i="8"/>
  <c r="AF41" i="8"/>
  <c r="AE36" i="23"/>
  <c r="Z36" i="23"/>
  <c r="AJ24" i="7"/>
  <c r="AJ24" i="8"/>
  <c r="AL24" i="8"/>
  <c r="AL37" i="7"/>
  <c r="AF7" i="9"/>
  <c r="AP7" i="9"/>
  <c r="AO45" i="8"/>
  <c r="AE45" i="8"/>
  <c r="AG45" i="8"/>
  <c r="AE6" i="23"/>
  <c r="Z6" i="23"/>
  <c r="AF202" i="22"/>
  <c r="Z202" i="22"/>
  <c r="N39" i="8"/>
  <c r="T39" i="8"/>
  <c r="AM39" i="8"/>
  <c r="AF307" i="22"/>
  <c r="Z307" i="22"/>
  <c r="AF267" i="22"/>
  <c r="Z267" i="22"/>
  <c r="R9" i="27"/>
  <c r="U9" i="27"/>
  <c r="AJ39" i="6"/>
  <c r="N39" i="6"/>
  <c r="N39" i="7"/>
  <c r="T39" i="7"/>
  <c r="AP39" i="8"/>
  <c r="AF39" i="8"/>
  <c r="AJ48" i="7"/>
  <c r="AJ48" i="8"/>
  <c r="AL48" i="8"/>
  <c r="AF223" i="22"/>
  <c r="Z223" i="22"/>
  <c r="AF283" i="22"/>
  <c r="Z283" i="22"/>
  <c r="N44" i="8"/>
  <c r="T44" i="8"/>
  <c r="AM44" i="8"/>
  <c r="AF18" i="22"/>
  <c r="Z18" i="22"/>
  <c r="AE58" i="23"/>
  <c r="Z58" i="23"/>
  <c r="AE56" i="23"/>
  <c r="Z56" i="23"/>
  <c r="AF215" i="22"/>
  <c r="Z215" i="22"/>
  <c r="AF55" i="22"/>
  <c r="Z55" i="22"/>
  <c r="AG6" i="9"/>
  <c r="N6" i="7"/>
  <c r="T6" i="7"/>
  <c r="AO6" i="9"/>
  <c r="AE6" i="9"/>
  <c r="AG44" i="9"/>
  <c r="AJ44" i="6"/>
  <c r="N44" i="6"/>
  <c r="N44" i="7"/>
  <c r="T44" i="7"/>
  <c r="AO44" i="9"/>
  <c r="AE44" i="9"/>
  <c r="AF24" i="8"/>
  <c r="AP24" i="8"/>
  <c r="L68" i="6"/>
  <c r="AL34" i="7"/>
  <c r="AJ14" i="6"/>
  <c r="N14" i="6"/>
  <c r="N14" i="7"/>
  <c r="T14" i="7"/>
  <c r="AP14" i="9"/>
  <c r="AF14" i="9"/>
  <c r="T17" i="7"/>
  <c r="AP17" i="9"/>
  <c r="AF17" i="9"/>
  <c r="AM47" i="9"/>
  <c r="N47" i="9"/>
  <c r="T47" i="9"/>
  <c r="AL38" i="7"/>
  <c r="AE130" i="23"/>
  <c r="Z130" i="23"/>
  <c r="AJ37" i="6"/>
  <c r="AJ37" i="7"/>
  <c r="AJ37" i="9"/>
  <c r="AL37" i="9"/>
  <c r="AF53" i="9"/>
  <c r="N33" i="9"/>
  <c r="T33" i="9"/>
  <c r="AM33" i="9"/>
  <c r="AF299" i="22"/>
  <c r="Z299" i="22"/>
  <c r="AF70" i="22"/>
  <c r="Z70" i="22"/>
  <c r="U29" i="27"/>
  <c r="R29" i="27"/>
  <c r="AL11" i="7"/>
  <c r="AJ20" i="6"/>
  <c r="N20" i="6"/>
  <c r="N20" i="7"/>
  <c r="T20" i="7"/>
  <c r="AM20" i="7"/>
  <c r="Z115" i="22"/>
  <c r="AF115" i="22"/>
  <c r="AJ30" i="6"/>
  <c r="N30" i="6"/>
  <c r="N30" i="7"/>
  <c r="L67" i="6"/>
  <c r="AL7" i="7"/>
  <c r="AF206" i="22"/>
  <c r="Z206" i="22"/>
  <c r="R27" i="27"/>
  <c r="U27" i="27"/>
  <c r="AE91" i="23"/>
  <c r="AM24" i="7"/>
  <c r="Z91" i="23"/>
  <c r="N38" i="6"/>
  <c r="N38" i="7"/>
  <c r="T38" i="7"/>
  <c r="AO38" i="9"/>
  <c r="AE38" i="9"/>
  <c r="AG38" i="9"/>
  <c r="AE54" i="23"/>
  <c r="Z54" i="23"/>
  <c r="N23" i="9"/>
  <c r="T23" i="9"/>
  <c r="AM23" i="9"/>
  <c r="AE60" i="23"/>
  <c r="Z60" i="23"/>
  <c r="AJ34" i="9"/>
  <c r="AL34" i="9"/>
  <c r="AF82" i="22"/>
  <c r="Z82" i="22"/>
  <c r="U32" i="27"/>
  <c r="AJ50" i="6"/>
  <c r="N50" i="6"/>
  <c r="N50" i="7"/>
  <c r="T50" i="7"/>
  <c r="AM50" i="7"/>
  <c r="R32" i="27"/>
  <c r="AJ18" i="6"/>
  <c r="AJ18" i="7"/>
  <c r="AJ18" i="8"/>
  <c r="AL18" i="8"/>
  <c r="AJ55" i="6"/>
  <c r="AJ60" i="6"/>
  <c r="AJ9" i="7"/>
  <c r="AJ9" i="9"/>
  <c r="AL9" i="9"/>
  <c r="AJ32" i="6"/>
  <c r="N32" i="6"/>
  <c r="N32" i="7"/>
  <c r="T32" i="7"/>
  <c r="AP32" i="8"/>
  <c r="AF32" i="8"/>
  <c r="AO35" i="8"/>
  <c r="AE35" i="8"/>
  <c r="AG35" i="8"/>
  <c r="AF57" i="22"/>
  <c r="Z57" i="22"/>
  <c r="AF332" i="22"/>
  <c r="Z332" i="22"/>
  <c r="AJ35" i="6"/>
  <c r="N35" i="6"/>
  <c r="N35" i="7"/>
  <c r="T35" i="7"/>
  <c r="AO35" i="9"/>
  <c r="AE35" i="9"/>
  <c r="AG35" i="9"/>
  <c r="AO7" i="8"/>
  <c r="AE7" i="8"/>
  <c r="AG7" i="8"/>
  <c r="R30" i="27"/>
  <c r="AJ49" i="6"/>
  <c r="N49" i="6"/>
  <c r="N49" i="7"/>
  <c r="T49" i="7"/>
  <c r="AM49" i="7"/>
  <c r="U30" i="27"/>
  <c r="AF303" i="22"/>
  <c r="Z303" i="22"/>
  <c r="AE95" i="22"/>
  <c r="Y95" i="22"/>
  <c r="AJ43" i="6"/>
  <c r="N43" i="6"/>
  <c r="N43" i="7"/>
  <c r="T43" i="7"/>
  <c r="AP43" i="9"/>
  <c r="AF43" i="9"/>
  <c r="Z193" i="22"/>
  <c r="AF193" i="22"/>
  <c r="AU4" i="22"/>
  <c r="AV4" i="22"/>
  <c r="F5" i="27"/>
  <c r="I6" i="27"/>
  <c r="I5" i="27"/>
  <c r="N7" i="7"/>
  <c r="T7" i="7"/>
  <c r="AM7" i="7"/>
  <c r="F6" i="27"/>
  <c r="Z156" i="22"/>
  <c r="AF156" i="22"/>
  <c r="E12" i="27"/>
  <c r="H9" i="27"/>
  <c r="H12" i="27"/>
  <c r="N7" i="6"/>
  <c r="N55" i="6"/>
  <c r="N60" i="6"/>
  <c r="N10" i="7"/>
  <c r="T10" i="7"/>
  <c r="AM10" i="7"/>
  <c r="E9" i="27"/>
  <c r="AJ22" i="6"/>
  <c r="N22" i="6"/>
  <c r="N22" i="7"/>
  <c r="T22" i="7"/>
  <c r="AM22" i="7"/>
  <c r="Z163" i="22"/>
  <c r="AF163" i="22"/>
  <c r="U28" i="27"/>
  <c r="R28" i="27"/>
  <c r="AO48" i="9"/>
  <c r="AE48" i="9"/>
  <c r="AG48" i="9"/>
  <c r="AJ34" i="6"/>
  <c r="AJ34" i="7"/>
  <c r="AJ34" i="8"/>
  <c r="AL34" i="8"/>
  <c r="T46" i="7"/>
  <c r="AM46" i="7"/>
  <c r="Z238" i="22"/>
  <c r="AF238" i="22"/>
  <c r="AF78" i="22"/>
  <c r="Z78" i="22"/>
  <c r="AP13" i="9"/>
  <c r="AF13" i="9"/>
  <c r="F11" i="27"/>
  <c r="AJ12" i="6"/>
  <c r="N12" i="6"/>
  <c r="N12" i="7"/>
  <c r="T12" i="7"/>
  <c r="AM12" i="7"/>
  <c r="I11" i="27"/>
  <c r="AJ24" i="6"/>
  <c r="N24" i="6"/>
  <c r="N24" i="7"/>
  <c r="T24" i="7"/>
  <c r="AP24" i="9"/>
  <c r="AF24" i="9"/>
  <c r="AJ25" i="6"/>
  <c r="N25" i="6"/>
  <c r="N25" i="7"/>
  <c r="T25" i="7"/>
  <c r="AP25" i="8"/>
  <c r="AF25" i="8"/>
  <c r="AJ38" i="6"/>
  <c r="AJ38" i="7"/>
  <c r="AJ38" i="9"/>
  <c r="AL38" i="9"/>
  <c r="U21" i="27"/>
  <c r="R21" i="27"/>
  <c r="R26" i="27"/>
  <c r="U16" i="27"/>
  <c r="U26" i="27"/>
  <c r="AJ33" i="6"/>
  <c r="N33" i="6"/>
  <c r="N33" i="7"/>
  <c r="T33" i="7"/>
  <c r="AM33" i="7"/>
  <c r="R16" i="27"/>
  <c r="R11" i="27"/>
  <c r="U11" i="27"/>
  <c r="AK10" i="8"/>
  <c r="AK7" i="6"/>
  <c r="AK55" i="6"/>
  <c r="AK60" i="6"/>
  <c r="AK10" i="7"/>
  <c r="AK10" i="9"/>
  <c r="AF291" i="22"/>
  <c r="Z291" i="22"/>
  <c r="N65" i="6"/>
  <c r="AJ47" i="6"/>
  <c r="N47" i="6"/>
  <c r="N47" i="7"/>
  <c r="T47" i="7"/>
  <c r="AM47" i="7"/>
  <c r="Z227" i="22"/>
  <c r="AF227" i="22"/>
  <c r="AJ11" i="7"/>
  <c r="AJ11" i="8"/>
  <c r="AL11" i="8"/>
  <c r="AF339" i="22"/>
  <c r="Z339" i="22"/>
  <c r="AJ23" i="6"/>
  <c r="N23" i="6"/>
  <c r="N23" i="7"/>
  <c r="T23" i="7"/>
  <c r="AM23" i="7"/>
  <c r="Z80" i="23"/>
  <c r="AE80" i="23"/>
  <c r="AJ21" i="6"/>
  <c r="N21" i="6"/>
  <c r="N21" i="7"/>
  <c r="T21" i="7"/>
  <c r="AM21" i="7"/>
  <c r="Z48" i="23"/>
  <c r="AE48" i="23"/>
  <c r="AJ7" i="6"/>
  <c r="AJ7" i="7"/>
  <c r="AJ7" i="9"/>
  <c r="AL7" i="9"/>
  <c r="AP11" i="9"/>
  <c r="AF11" i="9"/>
  <c r="F10" i="27"/>
  <c r="AJ11" i="6"/>
  <c r="N11" i="6"/>
  <c r="N11" i="7"/>
  <c r="T11" i="7"/>
  <c r="AM11" i="7"/>
  <c r="I10" i="27"/>
  <c r="AJ45" i="6"/>
  <c r="N45" i="6"/>
  <c r="N45" i="7"/>
  <c r="T45" i="7"/>
  <c r="AM45" i="7"/>
  <c r="Z254" i="22"/>
  <c r="AF254" i="22"/>
  <c r="AJ46" i="6"/>
  <c r="N46" i="6"/>
  <c r="N46" i="7"/>
  <c r="N46" i="9"/>
  <c r="T46" i="9"/>
  <c r="AM46" i="9"/>
  <c r="T8" i="7"/>
  <c r="AP8" i="8"/>
  <c r="AF8" i="8"/>
  <c r="AJ8" i="6"/>
  <c r="N8" i="6"/>
  <c r="N8" i="7"/>
  <c r="N8" i="8"/>
  <c r="T8" i="8"/>
  <c r="AM8" i="8"/>
  <c r="U31" i="27"/>
  <c r="AJ48" i="6"/>
  <c r="N48" i="6"/>
  <c r="N48" i="7"/>
  <c r="T48" i="7"/>
  <c r="AM48" i="7"/>
  <c r="R31" i="27"/>
  <c r="N64" i="6"/>
  <c r="AJ17" i="6"/>
  <c r="N17" i="6"/>
  <c r="N17" i="7"/>
  <c r="L66" i="6"/>
  <c r="L64" i="6"/>
  <c r="L70" i="6"/>
  <c r="N63" i="6"/>
  <c r="AJ13" i="6"/>
  <c r="N13" i="6"/>
  <c r="N13" i="7"/>
  <c r="T13" i="7"/>
  <c r="AO13" i="9"/>
  <c r="AE13" i="9"/>
  <c r="AG13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26C8B7-85EA-46F2-92FC-865114233F2B}" name="Conexão" type="7" refreshedVersion="8" background="1" saveData="1"/>
  <connection id="2" xr16:uid="{5071911E-61F2-4205-B9F4-ABD09A7021DA}" name="Conexão1" type="7" refreshedVersion="8" background="1" saveData="1"/>
  <connection id="3" xr16:uid="{6532BA47-AB76-4CD3-9FB5-14F81AF1DE57}" name="Conexão2" type="7" refreshedVersion="8" background="1" saveData="1"/>
</connections>
</file>

<file path=xl/sharedStrings.xml><?xml version="1.0" encoding="utf-8"?>
<sst xmlns="http://schemas.openxmlformats.org/spreadsheetml/2006/main" count="14289" uniqueCount="751">
  <si>
    <t>TipoMercado</t>
  </si>
  <si>
    <t>Subgrupo</t>
  </si>
  <si>
    <t>Modalidade</t>
  </si>
  <si>
    <t>Classe</t>
  </si>
  <si>
    <t>Subclasse</t>
  </si>
  <si>
    <t>Detalhe</t>
  </si>
  <si>
    <t>Agente</t>
  </si>
  <si>
    <t>Posto</t>
  </si>
  <si>
    <t>AnoMes</t>
  </si>
  <si>
    <t>D</t>
  </si>
  <si>
    <t>Daj</t>
  </si>
  <si>
    <t>TUSD_E</t>
  </si>
  <si>
    <t>TUSD_Eaj</t>
  </si>
  <si>
    <t>TE_E</t>
  </si>
  <si>
    <t>TE_Eaj</t>
  </si>
  <si>
    <t>UC</t>
  </si>
  <si>
    <t>OPÇÃO</t>
  </si>
  <si>
    <t>CóD. AUX.</t>
  </si>
  <si>
    <t>CóD. AUX. TUSD R$/kW</t>
  </si>
  <si>
    <t>CóD. AUX. TUSD R$/MWh</t>
  </si>
  <si>
    <t>CóD. AUX. TE R$/MWh</t>
  </si>
  <si>
    <t>Regular</t>
  </si>
  <si>
    <t>B1</t>
  </si>
  <si>
    <t>Convencional</t>
  </si>
  <si>
    <t>Residencial</t>
  </si>
  <si>
    <t>Não se aplica</t>
  </si>
  <si>
    <t>CATIVO</t>
  </si>
  <si>
    <t>Refaturamento - Regular</t>
  </si>
  <si>
    <t>Sistema de Compensação</t>
  </si>
  <si>
    <t>Residencial baixa renda – faixa 01</t>
  </si>
  <si>
    <t>Residencial baixa renda – faixa 02</t>
  </si>
  <si>
    <t>Residencial baixa renda – faixa 03</t>
  </si>
  <si>
    <t>Residencial baixa renda – faixa 04</t>
  </si>
  <si>
    <t>B3</t>
  </si>
  <si>
    <t>Industrial</t>
  </si>
  <si>
    <t>A4</t>
  </si>
  <si>
    <t>Verde</t>
  </si>
  <si>
    <t>Ponta</t>
  </si>
  <si>
    <t>Fora ponta</t>
  </si>
  <si>
    <t>Branca</t>
  </si>
  <si>
    <t>Intermediário</t>
  </si>
  <si>
    <t>Comercial</t>
  </si>
  <si>
    <t>B2</t>
  </si>
  <si>
    <t>Rural</t>
  </si>
  <si>
    <t>Poder público</t>
  </si>
  <si>
    <t>B4</t>
  </si>
  <si>
    <t>Iluminação pública</t>
  </si>
  <si>
    <t>Iluminação pública – B4a</t>
  </si>
  <si>
    <t>Serviço público</t>
  </si>
  <si>
    <t>Água, esgoto e saneamento</t>
  </si>
  <si>
    <t>Azul</t>
  </si>
  <si>
    <t>Consumo próprio</t>
  </si>
  <si>
    <t>PROJETADO</t>
  </si>
  <si>
    <t>TIPO ALERTA</t>
  </si>
  <si>
    <t>DETALHE ALERTA</t>
  </si>
  <si>
    <t>ABA</t>
  </si>
  <si>
    <t>LINHA</t>
  </si>
  <si>
    <t>COLUNA</t>
  </si>
  <si>
    <t>VARIÁVEL AUXILIAR</t>
  </si>
  <si>
    <t>SUBGRUPO</t>
  </si>
  <si>
    <t>MODALIDADE</t>
  </si>
  <si>
    <t>CLASSE</t>
  </si>
  <si>
    <t>SUBCLASSE</t>
  </si>
  <si>
    <t>DETALHE</t>
  </si>
  <si>
    <t>NOME UC</t>
  </si>
  <si>
    <t>POSTO</t>
  </si>
  <si>
    <t>UNIDADE</t>
  </si>
  <si>
    <t>SOMA MERCADO</t>
  </si>
  <si>
    <t>Energia horária</t>
  </si>
  <si>
    <t>MWh</t>
  </si>
  <si>
    <t>EP</t>
  </si>
  <si>
    <t>EFP</t>
  </si>
  <si>
    <t>kW</t>
  </si>
  <si>
    <t>DP</t>
  </si>
  <si>
    <t>DFP</t>
  </si>
  <si>
    <t>E</t>
  </si>
  <si>
    <t>APE</t>
  </si>
  <si>
    <t>Geração</t>
  </si>
  <si>
    <t>B</t>
  </si>
  <si>
    <t>TIPO 01</t>
  </si>
  <si>
    <t>TIPO 02</t>
  </si>
  <si>
    <t>EINT</t>
  </si>
  <si>
    <t>Energia convencional</t>
  </si>
  <si>
    <t>Energia convencional pré-pagamento</t>
  </si>
  <si>
    <t>Convencional pré-pagamento</t>
  </si>
  <si>
    <t>Cooperativa de eletrificação rural</t>
  </si>
  <si>
    <t>Serviço público de irrigação rural</t>
  </si>
  <si>
    <t>Iluminação pública – B4b</t>
  </si>
  <si>
    <t>CHAVE TUSD</t>
  </si>
  <si>
    <t>44440A4AzulNão se aplicaNão se aplicaNão se aplicaNão se aplicaFora ponta</t>
  </si>
  <si>
    <t>44470A4AzulNão se aplicaNão se aplicaNão se aplicaNão se aplicaFora ponta</t>
  </si>
  <si>
    <t>44440A4AzulNão se aplicaNão se aplicaNão se aplicaNão se aplicaPonta</t>
  </si>
  <si>
    <t>44470A4AzulNão se aplicaNão se aplicaNão se aplicaNão se aplicaPonta</t>
  </si>
  <si>
    <t>44440A4VerdeNão se aplicaNão se aplicaNão se aplicaNão se aplicaFora ponta</t>
  </si>
  <si>
    <t>44470A4VerdeNão se aplicaNão se aplicaNão se aplicaNão se aplicaFora ponta</t>
  </si>
  <si>
    <t>44501A4VerdeNão se aplicaNão se aplicaNão se aplicaNão se aplicaFora ponta</t>
  </si>
  <si>
    <t>44531A4VerdeNão se aplicaNão se aplicaNão se aplicaNão se aplicaFora ponta</t>
  </si>
  <si>
    <t>44562A4VerdeNão se aplicaNão se aplicaNão se aplicaNão se aplicaFora ponta</t>
  </si>
  <si>
    <t>44593A4VerdeNão se aplicaNão se aplicaNão se aplicaNão se aplicaFora ponta</t>
  </si>
  <si>
    <t>44621A4VerdeNão se aplicaNão se aplicaNão se aplicaNão se aplicaFora ponta</t>
  </si>
  <si>
    <t>44652A4VerdeNão se aplicaNão se aplicaNão se aplicaNão se aplicaFora ponta</t>
  </si>
  <si>
    <t>44682A4VerdeNão se aplicaNão se aplicaNão se aplicaNão se aplicaFora ponta</t>
  </si>
  <si>
    <t>44713A4VerdeNão se aplicaNão se aplicaNão se aplicaNão se aplicaFora ponta</t>
  </si>
  <si>
    <t>44743A4VerdeNão se aplicaNão se aplicaNão se aplicaNão se aplicaFora ponta</t>
  </si>
  <si>
    <t>44774A4VerdeNão se aplicaNão se aplicaNão se aplicaNão se aplicaFora ponta</t>
  </si>
  <si>
    <t>44440A4VerdeNão se aplicaNão se aplicaNão se aplicaNão se aplicaNão se aplica</t>
  </si>
  <si>
    <t>44470A4VerdeNão se aplicaNão se aplicaNão se aplicaNão se aplicaNão se aplica</t>
  </si>
  <si>
    <t>44501A4VerdeNão se aplicaNão se aplicaNão se aplicaNão se aplicaNão se aplica</t>
  </si>
  <si>
    <t>44531A4VerdeNão se aplicaNão se aplicaNão se aplicaNão se aplicaNão se aplica</t>
  </si>
  <si>
    <t>44562A4VerdeNão se aplicaNão se aplicaNão se aplicaNão se aplicaNão se aplica</t>
  </si>
  <si>
    <t>44593A4VerdeNão se aplicaNão se aplicaNão se aplicaNão se aplicaNão se aplica</t>
  </si>
  <si>
    <t>44621A4VerdeNão se aplicaNão se aplicaNão se aplicaNão se aplicaNão se aplica</t>
  </si>
  <si>
    <t>44652A4VerdeNão se aplicaNão se aplicaNão se aplicaNão se aplicaNão se aplica</t>
  </si>
  <si>
    <t>44682A4VerdeNão se aplicaNão se aplicaNão se aplicaNão se aplicaNão se aplica</t>
  </si>
  <si>
    <t>44713A4VerdeNão se aplicaNão se aplicaNão se aplicaNão se aplicaNão se aplica</t>
  </si>
  <si>
    <t>44743A4VerdeNão se aplicaNão se aplicaNão se aplicaNão se aplicaNão se aplica</t>
  </si>
  <si>
    <t>44774A4VerdeNão se aplicaNão se aplicaNão se aplicaNão se aplicaNão se aplica</t>
  </si>
  <si>
    <t>44440A4VerdeNão se aplicaNão se aplicaNão se aplicaNão se aplicaPonta</t>
  </si>
  <si>
    <t>44470A4VerdeNão se aplicaNão se aplicaNão se aplicaNão se aplicaPonta</t>
  </si>
  <si>
    <t>44501A4VerdeNão se aplicaNão se aplicaNão se aplicaNão se aplicaPonta</t>
  </si>
  <si>
    <t>44531A4VerdeNão se aplicaNão se aplicaNão se aplicaNão se aplicaPonta</t>
  </si>
  <si>
    <t>44562A4VerdeNão se aplicaNão se aplicaNão se aplicaNão se aplicaPonta</t>
  </si>
  <si>
    <t>44593A4VerdeNão se aplicaNão se aplicaNão se aplicaNão se aplicaPonta</t>
  </si>
  <si>
    <t>44621A4VerdeNão se aplicaNão se aplicaNão se aplicaNão se aplicaPonta</t>
  </si>
  <si>
    <t>44652A4VerdeNão se aplicaNão se aplicaNão se aplicaNão se aplicaPonta</t>
  </si>
  <si>
    <t>44682A4VerdeNão se aplicaNão se aplicaNão se aplicaNão se aplicaPonta</t>
  </si>
  <si>
    <t>44713A4VerdeNão se aplicaNão se aplicaNão se aplicaNão se aplicaPonta</t>
  </si>
  <si>
    <t>44743A4VerdeNão se aplicaNão se aplicaNão se aplicaNão se aplicaPonta</t>
  </si>
  <si>
    <t>44774A4VerdeNão se aplicaNão se aplicaNão se aplicaNão se aplicaPonta</t>
  </si>
  <si>
    <t>44440B1ConvencionalResidencialResidencialNão se aplicaNão se aplicaNão se aplica</t>
  </si>
  <si>
    <t>44470B1ConvencionalResidencialResidencialNão se aplicaNão se aplicaNão se aplica</t>
  </si>
  <si>
    <t>44501B1ConvencionalResidencialResidencialNão se aplicaNão se aplicaNão se aplica</t>
  </si>
  <si>
    <t>44531B1ConvencionalResidencialResidencialNão se aplicaNão se aplicaNão se aplica</t>
  </si>
  <si>
    <t>44562B1ConvencionalResidencialResidencialNão se aplicaNão se aplicaNão se aplica</t>
  </si>
  <si>
    <t>44593B1ConvencionalResidencialResidencialNão se aplicaNão se aplicaNão se aplica</t>
  </si>
  <si>
    <t>44621B1ConvencionalResidencialResidencialNão se aplicaNão se aplicaNão se aplica</t>
  </si>
  <si>
    <t>44652B1ConvencionalResidencialResidencialNão se aplicaNão se aplicaNão se aplica</t>
  </si>
  <si>
    <t>44682B1ConvencionalResidencialResidencialNão se aplicaNão se aplicaNão se aplica</t>
  </si>
  <si>
    <t>44713B1ConvencionalResidencialResidencialNão se aplicaNão se aplicaNão se aplica</t>
  </si>
  <si>
    <t>44743B1ConvencionalResidencialResidencialNão se aplicaNão se aplicaNão se aplica</t>
  </si>
  <si>
    <t>44774B1ConvencionalResidencialResidencialNão se aplicaNão se aplicaNão se aplica</t>
  </si>
  <si>
    <t>44440B1ConvencionalResidencialResidencial baixa renda – faixa 01Não se aplicaNão se aplicaNão se aplica</t>
  </si>
  <si>
    <t>44470B1ConvencionalResidencialResidencial baixa renda – faixa 01Não se aplicaNão se aplicaNão se aplica</t>
  </si>
  <si>
    <t>44501B1ConvencionalResidencialResidencial baixa renda – faixa 01Não se aplicaNão se aplicaNão se aplica</t>
  </si>
  <si>
    <t>44531B1ConvencionalResidencialResidencial baixa renda – faixa 01Não se aplicaNão se aplicaNão se aplica</t>
  </si>
  <si>
    <t>44562B1ConvencionalResidencialResidencial baixa renda – faixa 01Não se aplicaNão se aplicaNão se aplica</t>
  </si>
  <si>
    <t>44593B1ConvencionalResidencialResidencial baixa renda – faixa 01Não se aplicaNão se aplicaNão se aplica</t>
  </si>
  <si>
    <t>44621B1ConvencionalResidencialResidencial baixa renda – faixa 01Não se aplicaNão se aplicaNão se aplica</t>
  </si>
  <si>
    <t>44652B1ConvencionalResidencialResidencial baixa renda – faixa 01Não se aplicaNão se aplicaNão se aplica</t>
  </si>
  <si>
    <t>44682B1ConvencionalResidencialResidencial baixa renda – faixa 01Não se aplicaNão se aplicaNão se aplica</t>
  </si>
  <si>
    <t>44713B1ConvencionalResidencialResidencial baixa renda – faixa 01Não se aplicaNão se aplicaNão se aplica</t>
  </si>
  <si>
    <t>44743B1ConvencionalResidencialResidencial baixa renda – faixa 01Não se aplicaNão se aplicaNão se aplica</t>
  </si>
  <si>
    <t>44774B1ConvencionalResidencialResidencial baixa renda – faixa 01Não se aplicaNão se aplicaNão se aplica</t>
  </si>
  <si>
    <t>44440B1ConvencionalResidencialResidencial baixa renda – faixa 02Não se aplicaNão se aplicaNão se aplica</t>
  </si>
  <si>
    <t>44470B1ConvencionalResidencialResidencial baixa renda – faixa 02Não se aplicaNão se aplicaNão se aplica</t>
  </si>
  <si>
    <t>44501B1ConvencionalResidencialResidencial baixa renda – faixa 02Não se aplicaNão se aplicaNão se aplica</t>
  </si>
  <si>
    <t>44531B1ConvencionalResidencialResidencial baixa renda – faixa 02Não se aplicaNão se aplicaNão se aplica</t>
  </si>
  <si>
    <t>44562B1ConvencionalResidencialResidencial baixa renda – faixa 02Não se aplicaNão se aplicaNão se aplica</t>
  </si>
  <si>
    <t>44593B1ConvencionalResidencialResidencial baixa renda – faixa 02Não se aplicaNão se aplicaNão se aplica</t>
  </si>
  <si>
    <t>44621B1ConvencionalResidencialResidencial baixa renda – faixa 02Não se aplicaNão se aplicaNão se aplica</t>
  </si>
  <si>
    <t>44652B1ConvencionalResidencialResidencial baixa renda – faixa 02Não se aplicaNão se aplicaNão se aplica</t>
  </si>
  <si>
    <t>44682B1ConvencionalResidencialResidencial baixa renda – faixa 02Não se aplicaNão se aplicaNão se aplica</t>
  </si>
  <si>
    <t>44713B1ConvencionalResidencialResidencial baixa renda – faixa 02Não se aplicaNão se aplicaNão se aplica</t>
  </si>
  <si>
    <t>44743B1ConvencionalResidencialResidencial baixa renda – faixa 02Não se aplicaNão se aplicaNão se aplica</t>
  </si>
  <si>
    <t>44774B1ConvencionalResidencialResidencial baixa renda – faixa 02Não se aplicaNão se aplicaNão se aplica</t>
  </si>
  <si>
    <t>44440B1ConvencionalResidencialResidencial baixa renda – faixa 03Não se aplicaNão se aplicaNão se aplica</t>
  </si>
  <si>
    <t>44470B1ConvencionalResidencialResidencial baixa renda – faixa 03Não se aplicaNão se aplicaNão se aplica</t>
  </si>
  <si>
    <t>44501B1ConvencionalResidencialResidencial baixa renda – faixa 03Não se aplicaNão se aplicaNão se aplica</t>
  </si>
  <si>
    <t>44531B1ConvencionalResidencialResidencial baixa renda – faixa 03Não se aplicaNão se aplicaNão se aplica</t>
  </si>
  <si>
    <t>44562B1ConvencionalResidencialResidencial baixa renda – faixa 03Não se aplicaNão se aplicaNão se aplica</t>
  </si>
  <si>
    <t>44593B1ConvencionalResidencialResidencial baixa renda – faixa 03Não se aplicaNão se aplicaNão se aplica</t>
  </si>
  <si>
    <t>44621B1ConvencionalResidencialResidencial baixa renda – faixa 03Não se aplicaNão se aplicaNão se aplica</t>
  </si>
  <si>
    <t>44652B1ConvencionalResidencialResidencial baixa renda – faixa 03Não se aplicaNão se aplicaNão se aplica</t>
  </si>
  <si>
    <t>44682B1ConvencionalResidencialResidencial baixa renda – faixa 03Não se aplicaNão se aplicaNão se aplica</t>
  </si>
  <si>
    <t>44713B1ConvencionalResidencialResidencial baixa renda – faixa 03Não se aplicaNão se aplicaNão se aplica</t>
  </si>
  <si>
    <t>44743B1ConvencionalResidencialResidencial baixa renda – faixa 03Não se aplicaNão se aplicaNão se aplica</t>
  </si>
  <si>
    <t>44774B1ConvencionalResidencialResidencial baixa renda – faixa 03Não se aplicaNão se aplicaNão se aplica</t>
  </si>
  <si>
    <t>44440B1ConvencionalResidencialResidencial baixa renda – faixa 04Não se aplicaNão se aplicaNão se aplica</t>
  </si>
  <si>
    <t>44470B1ConvencionalResidencialResidencial baixa renda – faixa 04Não se aplicaNão se aplicaNão se aplica</t>
  </si>
  <si>
    <t>44501B1ConvencionalResidencialResidencial baixa renda – faixa 04Não se aplicaNão se aplicaNão se aplica</t>
  </si>
  <si>
    <t>44531B1ConvencionalResidencialResidencial baixa renda – faixa 04Não se aplicaNão se aplicaNão se aplica</t>
  </si>
  <si>
    <t>44562B1ConvencionalResidencialResidencial baixa renda – faixa 04Não se aplicaNão se aplicaNão se aplica</t>
  </si>
  <si>
    <t>44593B1ConvencionalResidencialResidencial baixa renda – faixa 04Não se aplicaNão se aplicaNão se aplica</t>
  </si>
  <si>
    <t>44621B1ConvencionalResidencialResidencial baixa renda – faixa 04Não se aplicaNão se aplicaNão se aplica</t>
  </si>
  <si>
    <t>44652B1ConvencionalResidencialResidencial baixa renda – faixa 04Não se aplicaNão se aplicaNão se aplica</t>
  </si>
  <si>
    <t>44682B1ConvencionalResidencialResidencial baixa renda – faixa 04Não se aplicaNão se aplicaNão se aplica</t>
  </si>
  <si>
    <t>44713B1ConvencionalResidencialResidencial baixa renda – faixa 04Não se aplicaNão se aplicaNão se aplica</t>
  </si>
  <si>
    <t>44743B1ConvencionalResidencialResidencial baixa renda – faixa 04Não se aplicaNão se aplicaNão se aplica</t>
  </si>
  <si>
    <t>44774B1ConvencionalResidencialResidencial baixa renda – faixa 04Não se aplicaNão se aplicaNão se aplica</t>
  </si>
  <si>
    <t>44440B2ConvencionalRuralNão se aplicaNão se aplicaNão se aplicaNão se aplica</t>
  </si>
  <si>
    <t>44470B2ConvencionalRuralNão se aplicaNão se aplicaNão se aplicaNão se aplica</t>
  </si>
  <si>
    <t>44501B2ConvencionalRuralNão se aplicaNão se aplicaNão se aplicaNão se aplica</t>
  </si>
  <si>
    <t>44531B2ConvencionalRuralNão se aplicaNão se aplicaNão se aplicaNão se aplica</t>
  </si>
  <si>
    <t>44562B2ConvencionalRuralNão se aplicaNão se aplicaNão se aplicaNão se aplica</t>
  </si>
  <si>
    <t>44593B2ConvencionalRuralNão se aplicaNão se aplicaNão se aplicaNão se aplica</t>
  </si>
  <si>
    <t>44621B2ConvencionalRuralNão se aplicaNão se aplicaNão se aplicaNão se aplica</t>
  </si>
  <si>
    <t>44652B2ConvencionalRuralNão se aplicaNão se aplicaNão se aplicaNão se aplica</t>
  </si>
  <si>
    <t>44682B2ConvencionalRuralNão se aplicaNão se aplicaNão se aplicaNão se aplica</t>
  </si>
  <si>
    <t>44713B2ConvencionalRuralNão se aplicaNão se aplicaNão se aplicaNão se aplica</t>
  </si>
  <si>
    <t>44743B2ConvencionalRuralNão se aplicaNão se aplicaNão se aplicaNão se aplica</t>
  </si>
  <si>
    <t>44774B2ConvencionalRuralNão se aplicaNão se aplicaNão se aplicaNão se aplica</t>
  </si>
  <si>
    <t>44440B3BrancaNão se aplicaNão se aplicaNão se aplicaNão se aplicaFora ponta</t>
  </si>
  <si>
    <t>44470B3BrancaNão se aplicaNão se aplicaNão se aplicaNão se aplicaFora ponta</t>
  </si>
  <si>
    <t>44501B3BrancaNão se aplicaNão se aplicaNão se aplicaNão se aplicaFora ponta</t>
  </si>
  <si>
    <t>44531B3BrancaNão se aplicaNão se aplicaNão se aplicaNão se aplicaFora ponta</t>
  </si>
  <si>
    <t>44562B3BrancaNão se aplicaNão se aplicaNão se aplicaNão se aplicaFora ponta</t>
  </si>
  <si>
    <t>44593B3BrancaNão se aplicaNão se aplicaNão se aplicaNão se aplicaFora ponta</t>
  </si>
  <si>
    <t>44621B3BrancaNão se aplicaNão se aplicaNão se aplicaNão se aplicaFora ponta</t>
  </si>
  <si>
    <t>44652B3BrancaNão se aplicaNão se aplicaNão se aplicaNão se aplicaFora ponta</t>
  </si>
  <si>
    <t>44682B3BrancaNão se aplicaNão se aplicaNão se aplicaNão se aplicaFora ponta</t>
  </si>
  <si>
    <t>44713B3BrancaNão se aplicaNão se aplicaNão se aplicaNão se aplicaFora ponta</t>
  </si>
  <si>
    <t>44743B3BrancaNão se aplicaNão se aplicaNão se aplicaNão se aplicaFora ponta</t>
  </si>
  <si>
    <t>44774B3BrancaNão se aplicaNão se aplicaNão se aplicaNão se aplicaFora ponta</t>
  </si>
  <si>
    <t>44440B3BrancaNão se aplicaNão se aplicaNão se aplicaNão se aplicaIntermediário</t>
  </si>
  <si>
    <t>44470B3BrancaNão se aplicaNão se aplicaNão se aplicaNão se aplicaIntermediário</t>
  </si>
  <si>
    <t>44501B3BrancaNão se aplicaNão se aplicaNão se aplicaNão se aplicaIntermediário</t>
  </si>
  <si>
    <t>44531B3BrancaNão se aplicaNão se aplicaNão se aplicaNão se aplicaIntermediário</t>
  </si>
  <si>
    <t>44562B3BrancaNão se aplicaNão se aplicaNão se aplicaNão se aplicaIntermediário</t>
  </si>
  <si>
    <t>44593B3BrancaNão se aplicaNão se aplicaNão se aplicaNão se aplicaIntermediário</t>
  </si>
  <si>
    <t>44621B3BrancaNão se aplicaNão se aplicaNão se aplicaNão se aplicaIntermediário</t>
  </si>
  <si>
    <t>44652B3BrancaNão se aplicaNão se aplicaNão se aplicaNão se aplicaIntermediário</t>
  </si>
  <si>
    <t>44682B3BrancaNão se aplicaNão se aplicaNão se aplicaNão se aplicaIntermediário</t>
  </si>
  <si>
    <t>44713B3BrancaNão se aplicaNão se aplicaNão se aplicaNão se aplicaIntermediário</t>
  </si>
  <si>
    <t>44743B3BrancaNão se aplicaNão se aplicaNão se aplicaNão se aplicaIntermediário</t>
  </si>
  <si>
    <t>44774B3BrancaNão se aplicaNão se aplicaNão se aplicaNão se aplicaIntermediário</t>
  </si>
  <si>
    <t>44440B3BrancaNão se aplicaNão se aplicaNão se aplicaNão se aplicaPonta</t>
  </si>
  <si>
    <t>44470B3BrancaNão se aplicaNão se aplicaNão se aplicaNão se aplicaPonta</t>
  </si>
  <si>
    <t>44501B3BrancaNão se aplicaNão se aplicaNão se aplicaNão se aplicaPonta</t>
  </si>
  <si>
    <t>44531B3BrancaNão se aplicaNão se aplicaNão se aplicaNão se aplicaPonta</t>
  </si>
  <si>
    <t>44562B3BrancaNão se aplicaNão se aplicaNão se aplicaNão se aplicaPonta</t>
  </si>
  <si>
    <t>44593B3BrancaNão se aplicaNão se aplicaNão se aplicaNão se aplicaPonta</t>
  </si>
  <si>
    <t>44621B3BrancaNão se aplicaNão se aplicaNão se aplicaNão se aplicaPonta</t>
  </si>
  <si>
    <t>44652B3BrancaNão se aplicaNão se aplicaNão se aplicaNão se aplicaPonta</t>
  </si>
  <si>
    <t>44682B3BrancaNão se aplicaNão se aplicaNão se aplicaNão se aplicaPonta</t>
  </si>
  <si>
    <t>44713B3BrancaNão se aplicaNão se aplicaNão se aplicaNão se aplicaPonta</t>
  </si>
  <si>
    <t>44743B3BrancaNão se aplicaNão se aplicaNão se aplicaNão se aplicaPonta</t>
  </si>
  <si>
    <t>44774B3BrancaNão se aplicaNão se aplicaNão se aplicaNão se aplicaPonta</t>
  </si>
  <si>
    <t>44440B3ConvencionalNão se aplicaNão se aplicaNão se aplicaNão se aplicaNão se aplica</t>
  </si>
  <si>
    <t>44470B3ConvencionalNão se aplicaNão se aplicaNão se aplicaNão se aplicaNão se aplica</t>
  </si>
  <si>
    <t>44501B3ConvencionalNão se aplicaNão se aplicaNão se aplicaNão se aplicaNão se aplica</t>
  </si>
  <si>
    <t>44531B3ConvencionalNão se aplicaNão se aplicaNão se aplicaNão se aplicaNão se aplica</t>
  </si>
  <si>
    <t>44562B3ConvencionalNão se aplicaNão se aplicaNão se aplicaNão se aplicaNão se aplica</t>
  </si>
  <si>
    <t>44593B3ConvencionalNão se aplicaNão se aplicaNão se aplicaNão se aplicaNão se aplica</t>
  </si>
  <si>
    <t>44621B3ConvencionalNão se aplicaNão se aplicaNão se aplicaNão se aplicaNão se aplica</t>
  </si>
  <si>
    <t>44652B3ConvencionalNão se aplicaNão se aplicaNão se aplicaNão se aplicaNão se aplica</t>
  </si>
  <si>
    <t>44682B3ConvencionalNão se aplicaNão se aplicaNão se aplicaNão se aplicaNão se aplica</t>
  </si>
  <si>
    <t>44713B3ConvencionalNão se aplicaNão se aplicaNão se aplicaNão se aplicaNão se aplica</t>
  </si>
  <si>
    <t>44743B3ConvencionalNão se aplicaNão se aplicaNão se aplicaNão se aplicaNão se aplica</t>
  </si>
  <si>
    <t>44774B3ConvencionalNão se aplicaNão se aplicaNão se aplicaNão se aplicaNão se aplica</t>
  </si>
  <si>
    <t>44440B4ConvencionalIluminação públicaIluminação pública – B4aNão se aplicaNão se aplicaNão se aplica</t>
  </si>
  <si>
    <t>44470B4ConvencionalIluminação públicaIluminação pública – B4aNão se aplicaNão se aplicaNão se aplica</t>
  </si>
  <si>
    <t>44501B4ConvencionalIluminação públicaIluminação pública – B4aNão se aplicaNão se aplicaNão se aplica</t>
  </si>
  <si>
    <t>44531B4ConvencionalIluminação públicaIluminação pública – B4aNão se aplicaNão se aplicaNão se aplica</t>
  </si>
  <si>
    <t>44562B4ConvencionalIluminação públicaIluminação pública – B4aNão se aplicaNão se aplicaNão se aplica</t>
  </si>
  <si>
    <t>44593B4ConvencionalIluminação públicaIluminação pública – B4aNão se aplicaNão se aplicaNão se aplica</t>
  </si>
  <si>
    <t>44621B4ConvencionalIluminação públicaIluminação pública – B4aNão se aplicaNão se aplicaNão se aplica</t>
  </si>
  <si>
    <t>44652B4ConvencionalIluminação públicaIluminação pública – B4aNão se aplicaNão se aplicaNão se aplica</t>
  </si>
  <si>
    <t>44682B4ConvencionalIluminação públicaIluminação pública – B4aNão se aplicaNão se aplicaNão se aplica</t>
  </si>
  <si>
    <t>44713B4ConvencionalIluminação públicaIluminação pública – B4aNão se aplicaNão se aplicaNão se aplica</t>
  </si>
  <si>
    <t>44743B4ConvencionalIluminação públicaIluminação pública – B4aNão se aplicaNão se aplicaNão se aplica</t>
  </si>
  <si>
    <t>44774B4ConvencionalIluminação públicaIluminação pública – B4aNão se aplicaNão se aplicaNão se aplica</t>
  </si>
  <si>
    <t>CHAVE TE</t>
  </si>
  <si>
    <t>44440A4Energia horáriaNão se aplicaNão se aplicaNão se aplicaNão se aplicaFora ponta</t>
  </si>
  <si>
    <t>44470A4Energia horáriaNão se aplicaNão se aplicaNão se aplicaNão se aplicaFora ponta</t>
  </si>
  <si>
    <t>44440A4Energia horáriaNão se aplicaNão se aplicaNão se aplicaNão se aplicaPonta</t>
  </si>
  <si>
    <t>44470A4Energia horáriaNão se aplicaNão se aplicaNão se aplicaNão se aplicaPonta</t>
  </si>
  <si>
    <t>44501A4Energia horáriaNão se aplicaNão se aplicaNão se aplicaNão se aplicaFora ponta</t>
  </si>
  <si>
    <t>44531A4Energia horáriaNão se aplicaNão se aplicaNão se aplicaNão se aplicaFora ponta</t>
  </si>
  <si>
    <t>44562A4Energia horáriaNão se aplicaNão se aplicaNão se aplicaNão se aplicaFora ponta</t>
  </si>
  <si>
    <t>44593A4Energia horáriaNão se aplicaNão se aplicaNão se aplicaNão se aplicaFora ponta</t>
  </si>
  <si>
    <t>44621A4Energia horáriaNão se aplicaNão se aplicaNão se aplicaNão se aplicaFora ponta</t>
  </si>
  <si>
    <t>44652A4Energia horáriaNão se aplicaNão se aplicaNão se aplicaNão se aplicaFora ponta</t>
  </si>
  <si>
    <t>44682A4Energia horáriaNão se aplicaNão se aplicaNão se aplicaNão se aplicaFora ponta</t>
  </si>
  <si>
    <t>44713A4Energia horáriaNão se aplicaNão se aplicaNão se aplicaNão se aplicaFora ponta</t>
  </si>
  <si>
    <t>44743A4Energia horáriaNão se aplicaNão se aplicaNão se aplicaNão se aplicaFora ponta</t>
  </si>
  <si>
    <t>44774A4Energia horáriaNão se aplicaNão se aplicaNão se aplicaNão se aplicaFora ponta</t>
  </si>
  <si>
    <t>CUIDADO</t>
  </si>
  <si>
    <t>Desculpe, mas não foi encontrado posto Não se aplica, modalidade Energia horária, subgrupo A4 no banco de regras.</t>
  </si>
  <si>
    <t>Mercado_Receita</t>
  </si>
  <si>
    <t>S</t>
  </si>
  <si>
    <t>44501A4Energia horáriaNão se aplicaNão se aplicaNão se aplicaNão se aplicaPonta</t>
  </si>
  <si>
    <t>44531A4Energia horáriaNão se aplicaNão se aplicaNão se aplicaNão se aplicaPonta</t>
  </si>
  <si>
    <t>44562A4Energia horáriaNão se aplicaNão se aplicaNão se aplicaNão se aplicaPonta</t>
  </si>
  <si>
    <t>44593A4Energia horáriaNão se aplicaNão se aplicaNão se aplicaNão se aplicaPonta</t>
  </si>
  <si>
    <t>44621A4Energia horáriaNão se aplicaNão se aplicaNão se aplicaNão se aplicaPonta</t>
  </si>
  <si>
    <t>44652A4Energia horáriaNão se aplicaNão se aplicaNão se aplicaNão se aplicaPonta</t>
  </si>
  <si>
    <t>44682A4Energia horáriaNão se aplicaNão se aplicaNão se aplicaNão se aplicaPonta</t>
  </si>
  <si>
    <t>44713A4Energia horáriaNão se aplicaNão se aplicaNão se aplicaNão se aplicaPonta</t>
  </si>
  <si>
    <t>44743A4Energia horáriaNão se aplicaNão se aplicaNão se aplicaNão se aplicaPonta</t>
  </si>
  <si>
    <t>44774A4Energia horáriaNão se aplicaNão se aplicaNão se aplicaNão se aplicaPonta</t>
  </si>
  <si>
    <t>44440B1Energia convencionalResidencialResidencialNão se aplicaNão se aplicaNão se aplica</t>
  </si>
  <si>
    <t>44470B1Energia convencionalResidencialResidencialNão se aplicaNão se aplicaNão se aplica</t>
  </si>
  <si>
    <t>44501B1Energia convencionalResidencialResidencialNão se aplicaNão se aplicaNão se aplica</t>
  </si>
  <si>
    <t>44531B1Energia convencionalResidencialResidencialNão se aplicaNão se aplicaNão se aplica</t>
  </si>
  <si>
    <t>44562B1Energia convencionalResidencialResidencialNão se aplicaNão se aplicaNão se aplica</t>
  </si>
  <si>
    <t>44593B1Energia convencionalResidencialResidencialNão se aplicaNão se aplicaNão se aplica</t>
  </si>
  <si>
    <t>44621B1Energia convencionalResidencialResidencialNão se aplicaNão se aplicaNão se aplica</t>
  </si>
  <si>
    <t>44652B1Energia convencionalResidencialResidencialNão se aplicaNão se aplicaNão se aplica</t>
  </si>
  <si>
    <t>44682B1Energia convencionalResidencialResidencialNão se aplicaNão se aplicaNão se aplica</t>
  </si>
  <si>
    <t>44713B1Energia convencionalResidencialResidencialNão se aplicaNão se aplicaNão se aplica</t>
  </si>
  <si>
    <t>44743B1Energia convencionalResidencialResidencialNão se aplicaNão se aplicaNão se aplica</t>
  </si>
  <si>
    <t>44774B1Energia convencionalResidencialResidencialNão se aplicaNão se aplicaNão se aplica</t>
  </si>
  <si>
    <t>44440B1Energia convencionalResidencialResidencial baixa renda – faixa 01Não se aplicaNão se aplicaNão se aplica</t>
  </si>
  <si>
    <t>44470B1Energia convencionalResidencialResidencial baixa renda – faixa 01Não se aplicaNão se aplicaNão se aplica</t>
  </si>
  <si>
    <t>44501B1Energia convencionalResidencialResidencial baixa renda – faixa 01Não se aplicaNão se aplicaNão se aplica</t>
  </si>
  <si>
    <t>44531B1Energia convencionalResidencialResidencial baixa renda – faixa 01Não se aplicaNão se aplicaNão se aplica</t>
  </si>
  <si>
    <t>44562B1Energia convencionalResidencialResidencial baixa renda – faixa 01Não se aplicaNão se aplicaNão se aplica</t>
  </si>
  <si>
    <t>44593B1Energia convencionalResidencialResidencial baixa renda – faixa 01Não se aplicaNão se aplicaNão se aplica</t>
  </si>
  <si>
    <t>44621B1Energia convencionalResidencialResidencial baixa renda – faixa 01Não se aplicaNão se aplicaNão se aplica</t>
  </si>
  <si>
    <t>44652B1Energia convencionalResidencialResidencial baixa renda – faixa 01Não se aplicaNão se aplicaNão se aplica</t>
  </si>
  <si>
    <t>44682B1Energia convencionalResidencialResidencial baixa renda – faixa 01Não se aplicaNão se aplicaNão se aplica</t>
  </si>
  <si>
    <t>44713B1Energia convencionalResidencialResidencial baixa renda – faixa 01Não se aplicaNão se aplicaNão se aplica</t>
  </si>
  <si>
    <t>44743B1Energia convencionalResidencialResidencial baixa renda – faixa 01Não se aplicaNão se aplicaNão se aplica</t>
  </si>
  <si>
    <t>44774B1Energia convencionalResidencialResidencial baixa renda – faixa 01Não se aplicaNão se aplicaNão se aplica</t>
  </si>
  <si>
    <t>44440B1Energia convencionalResidencialResidencial baixa renda – faixa 02Não se aplicaNão se aplicaNão se aplica</t>
  </si>
  <si>
    <t>44470B1Energia convencionalResidencialResidencial baixa renda – faixa 02Não se aplicaNão se aplicaNão se aplica</t>
  </si>
  <si>
    <t>44501B1Energia convencionalResidencialResidencial baixa renda – faixa 02Não se aplicaNão se aplicaNão se aplica</t>
  </si>
  <si>
    <t>44531B1Energia convencionalResidencialResidencial baixa renda – faixa 02Não se aplicaNão se aplicaNão se aplica</t>
  </si>
  <si>
    <t>44562B1Energia convencionalResidencialResidencial baixa renda – faixa 02Não se aplicaNão se aplicaNão se aplica</t>
  </si>
  <si>
    <t>44593B1Energia convencionalResidencialResidencial baixa renda – faixa 02Não se aplicaNão se aplicaNão se aplica</t>
  </si>
  <si>
    <t>44621B1Energia convencionalResidencialResidencial baixa renda – faixa 02Não se aplicaNão se aplicaNão se aplica</t>
  </si>
  <si>
    <t>44652B1Energia convencionalResidencialResidencial baixa renda – faixa 02Não se aplicaNão se aplicaNão se aplica</t>
  </si>
  <si>
    <t>44682B1Energia convencionalResidencialResidencial baixa renda – faixa 02Não se aplicaNão se aplicaNão se aplica</t>
  </si>
  <si>
    <t>44713B1Energia convencionalResidencialResidencial baixa renda – faixa 02Não se aplicaNão se aplicaNão se aplica</t>
  </si>
  <si>
    <t>44743B1Energia convencionalResidencialResidencial baixa renda – faixa 02Não se aplicaNão se aplicaNão se aplica</t>
  </si>
  <si>
    <t>44774B1Energia convencionalResidencialResidencial baixa renda – faixa 02Não se aplicaNão se aplicaNão se aplica</t>
  </si>
  <si>
    <t>44440B1Energia convencionalResidencialResidencial baixa renda – faixa 03Não se aplicaNão se aplicaNão se aplica</t>
  </si>
  <si>
    <t>44470B1Energia convencionalResidencialResidencial baixa renda – faixa 03Não se aplicaNão se aplicaNão se aplica</t>
  </si>
  <si>
    <t>44501B1Energia convencionalResidencialResidencial baixa renda – faixa 03Não se aplicaNão se aplicaNão se aplica</t>
  </si>
  <si>
    <t>44531B1Energia convencionalResidencialResidencial baixa renda – faixa 03Não se aplicaNão se aplicaNão se aplica</t>
  </si>
  <si>
    <t>44562B1Energia convencionalResidencialResidencial baixa renda – faixa 03Não se aplicaNão se aplicaNão se aplica</t>
  </si>
  <si>
    <t>44593B1Energia convencionalResidencialResidencial baixa renda – faixa 03Não se aplicaNão se aplicaNão se aplica</t>
  </si>
  <si>
    <t>44621B1Energia convencionalResidencialResidencial baixa renda – faixa 03Não se aplicaNão se aplicaNão se aplica</t>
  </si>
  <si>
    <t>44652B1Energia convencionalResidencialResidencial baixa renda – faixa 03Não se aplicaNão se aplicaNão se aplica</t>
  </si>
  <si>
    <t>44682B1Energia convencionalResidencialResidencial baixa renda – faixa 03Não se aplicaNão se aplicaNão se aplica</t>
  </si>
  <si>
    <t>44713B1Energia convencionalResidencialResidencial baixa renda – faixa 03Não se aplicaNão se aplicaNão se aplica</t>
  </si>
  <si>
    <t>44743B1Energia convencionalResidencialResidencial baixa renda – faixa 03Não se aplicaNão se aplicaNão se aplica</t>
  </si>
  <si>
    <t>44774B1Energia convencionalResidencialResidencial baixa renda – faixa 03Não se aplicaNão se aplicaNão se aplica</t>
  </si>
  <si>
    <t>44440B1Energia convencionalResidencialResidencial baixa renda – faixa 04Não se aplicaNão se aplicaNão se aplica</t>
  </si>
  <si>
    <t>44470B1Energia convencionalResidencialResidencial baixa renda – faixa 04Não se aplicaNão se aplicaNão se aplica</t>
  </si>
  <si>
    <t>44501B1Energia convencionalResidencialResidencial baixa renda – faixa 04Não se aplicaNão se aplicaNão se aplica</t>
  </si>
  <si>
    <t>44531B1Energia convencionalResidencialResidencial baixa renda – faixa 04Não se aplicaNão se aplicaNão se aplica</t>
  </si>
  <si>
    <t>44562B1Energia convencionalResidencialResidencial baixa renda – faixa 04Não se aplicaNão se aplicaNão se aplica</t>
  </si>
  <si>
    <t>44593B1Energia convencionalResidencialResidencial baixa renda – faixa 04Não se aplicaNão se aplicaNão se aplica</t>
  </si>
  <si>
    <t>44621B1Energia convencionalResidencialResidencial baixa renda – faixa 04Não se aplicaNão se aplicaNão se aplica</t>
  </si>
  <si>
    <t>44652B1Energia convencionalResidencialResidencial baixa renda – faixa 04Não se aplicaNão se aplicaNão se aplica</t>
  </si>
  <si>
    <t>44682B1Energia convencionalResidencialResidencial baixa renda – faixa 04Não se aplicaNão se aplicaNão se aplica</t>
  </si>
  <si>
    <t>44713B1Energia convencionalResidencialResidencial baixa renda – faixa 04Não se aplicaNão se aplicaNão se aplica</t>
  </si>
  <si>
    <t>44743B1Energia convencionalResidencialResidencial baixa renda – faixa 04Não se aplicaNão se aplicaNão se aplica</t>
  </si>
  <si>
    <t>44774B1Energia convencionalResidencialResidencial baixa renda – faixa 04Não se aplicaNão se aplicaNão se aplica</t>
  </si>
  <si>
    <t>44440B2Energia convencionalRuralNão se aplicaNão se aplicaNão se aplicaNão se aplica</t>
  </si>
  <si>
    <t>44470B2Energia convencionalRuralNão se aplicaNão se aplicaNão se aplicaNão se aplica</t>
  </si>
  <si>
    <t>44501B2Energia convencionalRuralNão se aplicaNão se aplicaNão se aplicaNão se aplica</t>
  </si>
  <si>
    <t>44531B2Energia convencionalRuralNão se aplicaNão se aplicaNão se aplicaNão se aplica</t>
  </si>
  <si>
    <t>44562B2Energia convencionalRuralNão se aplicaNão se aplicaNão se aplicaNão se aplica</t>
  </si>
  <si>
    <t>44593B2Energia convencionalRuralNão se aplicaNão se aplicaNão se aplicaNão se aplica</t>
  </si>
  <si>
    <t>44621B2Energia convencionalRuralNão se aplicaNão se aplicaNão se aplicaNão se aplica</t>
  </si>
  <si>
    <t>44652B2Energia convencionalRuralNão se aplicaNão se aplicaNão se aplicaNão se aplica</t>
  </si>
  <si>
    <t>44682B2Energia convencionalRuralNão se aplicaNão se aplicaNão se aplicaNão se aplica</t>
  </si>
  <si>
    <t>44713B2Energia convencionalRuralNão se aplicaNão se aplicaNão se aplicaNão se aplica</t>
  </si>
  <si>
    <t>44743B2Energia convencionalRuralNão se aplicaNão se aplicaNão se aplicaNão se aplica</t>
  </si>
  <si>
    <t>44774B2Energia convencionalRuralNão se aplicaNão se aplicaNão se aplicaNão se aplica</t>
  </si>
  <si>
    <t>44440B3Energia horáriaNão se aplicaNão se aplicaNão se aplicaNão se aplicaFora ponta</t>
  </si>
  <si>
    <t>44470B3Energia horáriaNão se aplicaNão se aplicaNão se aplicaNão se aplicaFora ponta</t>
  </si>
  <si>
    <t>44501B3Energia horáriaNão se aplicaNão se aplicaNão se aplicaNão se aplicaFora ponta</t>
  </si>
  <si>
    <t>44531B3Energia horáriaNão se aplicaNão se aplicaNão se aplicaNão se aplicaFora ponta</t>
  </si>
  <si>
    <t>44562B3Energia horáriaNão se aplicaNão se aplicaNão se aplicaNão se aplicaFora ponta</t>
  </si>
  <si>
    <t>44593B3Energia horáriaNão se aplicaNão se aplicaNão se aplicaNão se aplicaFora ponta</t>
  </si>
  <si>
    <t>44621B3Energia horáriaNão se aplicaNão se aplicaNão se aplicaNão se aplicaFora ponta</t>
  </si>
  <si>
    <t>44652B3Energia horáriaNão se aplicaNão se aplicaNão se aplicaNão se aplicaFora ponta</t>
  </si>
  <si>
    <t>44682B3Energia horáriaNão se aplicaNão se aplicaNão se aplicaNão se aplicaFora ponta</t>
  </si>
  <si>
    <t>44713B3Energia horáriaNão se aplicaNão se aplicaNão se aplicaNão se aplicaFora ponta</t>
  </si>
  <si>
    <t>44743B3Energia horáriaNão se aplicaNão se aplicaNão se aplicaNão se aplicaFora ponta</t>
  </si>
  <si>
    <t>44774B3Energia horáriaNão se aplicaNão se aplicaNão se aplicaNão se aplicaFora ponta</t>
  </si>
  <si>
    <t>44440B3Energia horáriaNão se aplicaNão se aplicaNão se aplicaNão se aplicaIntermediário</t>
  </si>
  <si>
    <t>44470B3Energia horáriaNão se aplicaNão se aplicaNão se aplicaNão se aplicaIntermediário</t>
  </si>
  <si>
    <t>44501B3Energia horáriaNão se aplicaNão se aplicaNão se aplicaNão se aplicaIntermediário</t>
  </si>
  <si>
    <t>44531B3Energia horáriaNão se aplicaNão se aplicaNão se aplicaNão se aplicaIntermediário</t>
  </si>
  <si>
    <t>44562B3Energia horáriaNão se aplicaNão se aplicaNão se aplicaNão se aplicaIntermediário</t>
  </si>
  <si>
    <t>44593B3Energia horáriaNão se aplicaNão se aplicaNão se aplicaNão se aplicaIntermediário</t>
  </si>
  <si>
    <t>44621B3Energia horáriaNão se aplicaNão se aplicaNão se aplicaNão se aplicaIntermediário</t>
  </si>
  <si>
    <t>44652B3Energia horáriaNão se aplicaNão se aplicaNão se aplicaNão se aplicaIntermediário</t>
  </si>
  <si>
    <t>44682B3Energia horáriaNão se aplicaNão se aplicaNão se aplicaNão se aplicaIntermediário</t>
  </si>
  <si>
    <t>44713B3Energia horáriaNão se aplicaNão se aplicaNão se aplicaNão se aplicaIntermediário</t>
  </si>
  <si>
    <t>44743B3Energia horáriaNão se aplicaNão se aplicaNão se aplicaNão se aplicaIntermediário</t>
  </si>
  <si>
    <t>44774B3Energia horáriaNão se aplicaNão se aplicaNão se aplicaNão se aplicaIntermediário</t>
  </si>
  <si>
    <t>44440B3Energia horáriaNão se aplicaNão se aplicaNão se aplicaNão se aplicaPonta</t>
  </si>
  <si>
    <t>44470B3Energia horáriaNão se aplicaNão se aplicaNão se aplicaNão se aplicaPonta</t>
  </si>
  <si>
    <t>44501B3Energia horáriaNão se aplicaNão se aplicaNão se aplicaNão se aplicaPonta</t>
  </si>
  <si>
    <t>44531B3Energia horáriaNão se aplicaNão se aplicaNão se aplicaNão se aplicaPonta</t>
  </si>
  <si>
    <t>44562B3Energia horáriaNão se aplicaNão se aplicaNão se aplicaNão se aplicaPonta</t>
  </si>
  <si>
    <t>44593B3Energia horáriaNão se aplicaNão se aplicaNão se aplicaNão se aplicaPonta</t>
  </si>
  <si>
    <t>44621B3Energia horáriaNão se aplicaNão se aplicaNão se aplicaNão se aplicaPonta</t>
  </si>
  <si>
    <t>44652B3Energia horáriaNão se aplicaNão se aplicaNão se aplicaNão se aplicaPonta</t>
  </si>
  <si>
    <t>44682B3Energia horáriaNão se aplicaNão se aplicaNão se aplicaNão se aplicaPonta</t>
  </si>
  <si>
    <t>44713B3Energia horáriaNão se aplicaNão se aplicaNão se aplicaNão se aplicaPonta</t>
  </si>
  <si>
    <t>44743B3Energia horáriaNão se aplicaNão se aplicaNão se aplicaNão se aplicaPonta</t>
  </si>
  <si>
    <t>44774B3Energia horáriaNão se aplicaNão se aplicaNão se aplicaNão se aplicaPonta</t>
  </si>
  <si>
    <t>44440B3Energia convencionalNão se aplicaNão se aplicaNão se aplicaNão se aplicaNão se aplica</t>
  </si>
  <si>
    <t>44470B3Energia convencionalNão se aplicaNão se aplicaNão se aplicaNão se aplicaNão se aplica</t>
  </si>
  <si>
    <t>44501B3Energia convencionalNão se aplicaNão se aplicaNão se aplicaNão se aplicaNão se aplica</t>
  </si>
  <si>
    <t>44531B3Energia convencionalNão se aplicaNão se aplicaNão se aplicaNão se aplicaNão se aplica</t>
  </si>
  <si>
    <t>44562B3Energia convencionalNão se aplicaNão se aplicaNão se aplicaNão se aplicaNão se aplica</t>
  </si>
  <si>
    <t>44593B3Energia convencionalNão se aplicaNão se aplicaNão se aplicaNão se aplicaNão se aplica</t>
  </si>
  <si>
    <t>44621B3Energia convencionalNão se aplicaNão se aplicaNão se aplicaNão se aplicaNão se aplica</t>
  </si>
  <si>
    <t>44652B3Energia convencionalNão se aplicaNão se aplicaNão se aplicaNão se aplicaNão se aplica</t>
  </si>
  <si>
    <t>44682B3Energia convencionalNão se aplicaNão se aplicaNão se aplicaNão se aplicaNão se aplica</t>
  </si>
  <si>
    <t>44713B3Energia convencionalNão se aplicaNão se aplicaNão se aplicaNão se aplicaNão se aplica</t>
  </si>
  <si>
    <t>44743B3Energia convencionalNão se aplicaNão se aplicaNão se aplicaNão se aplicaNão se aplica</t>
  </si>
  <si>
    <t>44774B3Energia convencionalNão se aplicaNão se aplicaNão se aplicaNão se aplicaNão se aplica</t>
  </si>
  <si>
    <t>44440B4Energia convencionalIluminação públicaIluminação pública – B4aNão se aplicaNão se aplicaNão se aplica</t>
  </si>
  <si>
    <t>44470B4Energia convencionalIluminação públicaIluminação pública – B4aNão se aplicaNão se aplicaNão se aplica</t>
  </si>
  <si>
    <t>44501B4Energia convencionalIluminação públicaIluminação pública – B4aNão se aplicaNão se aplicaNão se aplica</t>
  </si>
  <si>
    <t>44531B4Energia convencionalIluminação públicaIluminação pública – B4aNão se aplicaNão se aplicaNão se aplica</t>
  </si>
  <si>
    <t>44562B4Energia convencionalIluminação públicaIluminação pública – B4aNão se aplicaNão se aplicaNão se aplica</t>
  </si>
  <si>
    <t>44593B4Energia convencionalIluminação públicaIluminação pública – B4aNão se aplicaNão se aplicaNão se aplica</t>
  </si>
  <si>
    <t>44621B4Energia convencionalIluminação públicaIluminação pública – B4aNão se aplicaNão se aplicaNão se aplica</t>
  </si>
  <si>
    <t>44652B4Energia convencionalIluminação públicaIluminação pública – B4aNão se aplicaNão se aplicaNão se aplica</t>
  </si>
  <si>
    <t>44682B4Energia convencionalIluminação públicaIluminação pública – B4aNão se aplicaNão se aplicaNão se aplica</t>
  </si>
  <si>
    <t>44713B4Energia convencionalIluminação públicaIluminação pública – B4aNão se aplicaNão se aplicaNão se aplica</t>
  </si>
  <si>
    <t>44743B4Energia convencionalIluminação públicaIluminação pública – B4aNão se aplicaNão se aplicaNão se aplica</t>
  </si>
  <si>
    <t>44774B4Energia convencionalIluminação públicaIluminação pública – B4aNão se aplicaNão se aplicaNão se aplica</t>
  </si>
  <si>
    <t>RECEITA VERIFICADA</t>
  </si>
  <si>
    <t>TUSD</t>
  </si>
  <si>
    <t>ENCARGO</t>
  </si>
  <si>
    <t>TFSEE</t>
  </si>
  <si>
    <t>P&amp;D</t>
  </si>
  <si>
    <t>ONS</t>
  </si>
  <si>
    <t>CCC</t>
  </si>
  <si>
    <t>CDE</t>
  </si>
  <si>
    <t>PROINFA</t>
  </si>
  <si>
    <t>LIMINAR 1</t>
  </si>
  <si>
    <t>SUBTOTAL</t>
  </si>
  <si>
    <t>FIO A</t>
  </si>
  <si>
    <t>TUSD RB</t>
  </si>
  <si>
    <t>TUSD FR</t>
  </si>
  <si>
    <t>CONEXAO T</t>
  </si>
  <si>
    <t>CONEXAO D</t>
  </si>
  <si>
    <t>CUSD</t>
  </si>
  <si>
    <t>TUSDG-T</t>
  </si>
  <si>
    <t>TUSDG-ONS</t>
  </si>
  <si>
    <t>FIO B</t>
  </si>
  <si>
    <t>DISTRIBUICAO</t>
  </si>
  <si>
    <t>Nao se aplica</t>
  </si>
  <si>
    <t>SUBSIDIO</t>
  </si>
  <si>
    <t>OUTROS</t>
  </si>
  <si>
    <t>PERDAS</t>
  </si>
  <si>
    <t>PERDAS TECNICAS</t>
  </si>
  <si>
    <t>PERDAS RB/ PERDAS D</t>
  </si>
  <si>
    <t>PERDAS NAO TECNICAS</t>
  </si>
  <si>
    <t>RI</t>
  </si>
  <si>
    <t>TE</t>
  </si>
  <si>
    <t>ESS/ERR</t>
  </si>
  <si>
    <t>CFURH</t>
  </si>
  <si>
    <t>CDE ELET</t>
  </si>
  <si>
    <t>ENERGIA</t>
  </si>
  <si>
    <t>ENERGIA REVENDA</t>
  </si>
  <si>
    <t>ITAIPU</t>
  </si>
  <si>
    <t>TUST ITAIPU</t>
  </si>
  <si>
    <t>TUST CI</t>
  </si>
  <si>
    <t>PERDAS RB/C</t>
  </si>
  <si>
    <t>TOTAL</t>
  </si>
  <si>
    <t>TIPO TARIFA</t>
  </si>
  <si>
    <t>GRUPO DE CUSTO</t>
  </si>
  <si>
    <t>CUSTO</t>
  </si>
  <si>
    <t>BASE ECONÔMICA</t>
  </si>
  <si>
    <t>BASE FINANCEIRA</t>
  </si>
  <si>
    <t>CVA</t>
  </si>
  <si>
    <t>Parâmetros de cálculo</t>
  </si>
  <si>
    <t>IRP ECONÔMICO (%)</t>
  </si>
  <si>
    <t>IRP FINANCEIRO (%)</t>
  </si>
  <si>
    <t>IGP-M (%)</t>
  </si>
  <si>
    <t>ALÍQUOTA P&amp;D (%)</t>
  </si>
  <si>
    <t>PROJEÇÃO MERC. (%)</t>
  </si>
  <si>
    <t>Perdas TOTAIS (MWh)</t>
  </si>
  <si>
    <t>Perdas Técnicas (MWh)</t>
  </si>
  <si>
    <t>Perdas Não Técnicas (MWh)</t>
  </si>
  <si>
    <t>Perdas na RB (sobre perdas na D) (MWh)</t>
  </si>
  <si>
    <t>Perdas na RB (sobre mercado cativo) (MWh)</t>
  </si>
  <si>
    <t>ENERGIA REQUERIDA (MWh)</t>
  </si>
  <si>
    <t>PROINFA (MWh)</t>
  </si>
  <si>
    <t>MIX COMPRA (R$/MWh)</t>
  </si>
  <si>
    <t>ENERGIA ECON. (R$)</t>
  </si>
  <si>
    <t>ENERGIA FIN. (R$)</t>
  </si>
  <si>
    <t>ENERGIA CVA (R$)</t>
  </si>
  <si>
    <t>RB FIN. (R$)</t>
  </si>
  <si>
    <t>RB CVA (R$)</t>
  </si>
  <si>
    <t>P&amp;D FIN. (R$)</t>
  </si>
  <si>
    <t>P&amp;D CVA (R$)</t>
  </si>
  <si>
    <t>VERSÃO</t>
  </si>
  <si>
    <t>Constante FAIXA 1 BR</t>
  </si>
  <si>
    <t>Constante FAIXA 2 BR</t>
  </si>
  <si>
    <t>Constante FAIXA 3 BR</t>
  </si>
  <si>
    <t>Constante FAIXA 4 BR</t>
  </si>
  <si>
    <t>Constante B2 Rural</t>
  </si>
  <si>
    <t>Constante B2 Cooperativas</t>
  </si>
  <si>
    <t>Constante B2 SPI</t>
  </si>
  <si>
    <t>Constante B3</t>
  </si>
  <si>
    <t>Constante B4a</t>
  </si>
  <si>
    <t>Constante B4b</t>
  </si>
  <si>
    <t>Constante PUB. FAIXA 1 BR</t>
  </si>
  <si>
    <t>Constante PUB. FAIXA 2 BR</t>
  </si>
  <si>
    <t>Constante PUB. FAIXA 3 BR</t>
  </si>
  <si>
    <t>Constante PUB. FAIXA 4 BR</t>
  </si>
  <si>
    <t>Constante PUB. B2 Rural</t>
  </si>
  <si>
    <t>Constante PUB. B2 Cooperativas</t>
  </si>
  <si>
    <t>Constante PUB. B2 SPI</t>
  </si>
  <si>
    <t>Conexão CONS. A1</t>
  </si>
  <si>
    <t>CDE ENERGIA ACR</t>
  </si>
  <si>
    <t>CDE Covid TUSD</t>
  </si>
  <si>
    <t>P&amp;D ECON. (R$)</t>
  </si>
  <si>
    <t>CUSTOS</t>
  </si>
  <si>
    <t>CDE Covid TE</t>
  </si>
  <si>
    <t>ABA Merc. Rec. TUSD (kW)</t>
  </si>
  <si>
    <t>ABA Merc. Rec. TUSD (MWh)</t>
  </si>
  <si>
    <t>ABA Merc. Rec. TE (MWh)</t>
  </si>
  <si>
    <t>ABA Merc. TUSD TUSD (kW)</t>
  </si>
  <si>
    <t>ABA Merc. TUSD TUSD (MWh)</t>
  </si>
  <si>
    <t>ABA Merc. TE TE (MWh)</t>
  </si>
  <si>
    <t>TESTE TUSD (kW)</t>
  </si>
  <si>
    <t>TESTE TUSD (MWh)</t>
  </si>
  <si>
    <t>TESTE TE (MWh)</t>
  </si>
  <si>
    <t>Resolução</t>
  </si>
  <si>
    <t>RESOLUÇÃO HOMOLOGATÓRIA Nº 2.943, DE 28 DE SETEMBRO DE 2021</t>
  </si>
  <si>
    <t>MERC.</t>
  </si>
  <si>
    <t>TR TUSD</t>
  </si>
  <si>
    <t>VAR AUX</t>
  </si>
  <si>
    <t>CUSTO REC. CAR.</t>
  </si>
  <si>
    <t>CUSTO REC. GER.</t>
  </si>
  <si>
    <t>CUSTO REC. DEM.</t>
  </si>
  <si>
    <t>CON. D/T</t>
  </si>
  <si>
    <t>COEF. AJ. BE</t>
  </si>
  <si>
    <t>TUSD BE</t>
  </si>
  <si>
    <t>CUSTO TEÓRICO</t>
  </si>
  <si>
    <t>COEF. AJ. BF</t>
  </si>
  <si>
    <t>(SUB)GRUPO</t>
  </si>
  <si>
    <t>TUSD (R$)</t>
  </si>
  <si>
    <t>TUSD (MWh)</t>
  </si>
  <si>
    <t>PNT (R$/MWh)</t>
  </si>
  <si>
    <t>VAR. AX01</t>
  </si>
  <si>
    <t>VAR. AX02</t>
  </si>
  <si>
    <t>TUSD BF</t>
  </si>
  <si>
    <t>COEF. AJ. CVA</t>
  </si>
  <si>
    <t>AUX. SUBS.</t>
  </si>
  <si>
    <t>TUSD CVA</t>
  </si>
  <si>
    <t>TR TE</t>
  </si>
  <si>
    <t>BASE TEÓRICA</t>
  </si>
  <si>
    <t>TE SUP.</t>
  </si>
  <si>
    <t>COEF. AJ. BE CDE S/ ACR</t>
  </si>
  <si>
    <t>COEF. AJ. BE CDE SÓ ACR</t>
  </si>
  <si>
    <t>TE BE</t>
  </si>
  <si>
    <t>TE BF</t>
  </si>
  <si>
    <t>TE CVA</t>
  </si>
  <si>
    <t>TOTAL ABAS</t>
  </si>
  <si>
    <t>AVALIAÇÃO</t>
  </si>
  <si>
    <t>Coeficientes de transição</t>
  </si>
  <si>
    <t>A2</t>
  </si>
  <si>
    <t>A3</t>
  </si>
  <si>
    <t>A3a</t>
  </si>
  <si>
    <t>AS</t>
  </si>
  <si>
    <t>Carga</t>
  </si>
  <si>
    <t>Ajustado para o passo 4 da transição. Não altere.</t>
  </si>
  <si>
    <t>TipoTarifa</t>
  </si>
  <si>
    <t>UP</t>
  </si>
  <si>
    <t>US</t>
  </si>
  <si>
    <t>UT</t>
  </si>
  <si>
    <t>AnoRef</t>
  </si>
  <si>
    <t>Evento</t>
  </si>
  <si>
    <t>Energia</t>
  </si>
  <si>
    <t>Ativa</t>
  </si>
  <si>
    <t>Potência</t>
  </si>
  <si>
    <t>CÓD.</t>
  </si>
  <si>
    <t>TUSD (R$/kW)</t>
  </si>
  <si>
    <t>TUSD (R$/MWh)</t>
  </si>
  <si>
    <t>TE (R$/MWh)</t>
  </si>
  <si>
    <t>TUSD (R$/kW) NOVA</t>
  </si>
  <si>
    <t>TUSD (R$/MWh) NOVA</t>
  </si>
  <si>
    <t>TE (R$/MWh) NOVA</t>
  </si>
  <si>
    <t>Empresa</t>
  </si>
  <si>
    <t>Ramo</t>
  </si>
  <si>
    <t>Tipo</t>
  </si>
  <si>
    <t>Unidade</t>
  </si>
  <si>
    <t>Percentual Desconto</t>
  </si>
  <si>
    <t>modalidade</t>
  </si>
  <si>
    <t>subgrupo</t>
  </si>
  <si>
    <t>classe</t>
  </si>
  <si>
    <t>subclasse</t>
  </si>
  <si>
    <t>detalhe</t>
  </si>
  <si>
    <t>Passo atual</t>
  </si>
  <si>
    <t>desconto 0 - 8</t>
  </si>
  <si>
    <t>Planilha Custo</t>
  </si>
  <si>
    <t>Planilha CUSTO</t>
  </si>
  <si>
    <t xml:space="preserve">Branca </t>
  </si>
  <si>
    <t xml:space="preserve">Convencional </t>
  </si>
  <si>
    <t>RA0 ou RV - TUSD (kW)</t>
  </si>
  <si>
    <t>RA0 ou RV - TUSD (MWh)</t>
  </si>
  <si>
    <t>RA0 ou RV - TE (MWh)</t>
  </si>
  <si>
    <t>RA1 ou RRD - TUSD (kW)</t>
  </si>
  <si>
    <t>RA1 ou RRD - TUSD (MWh)</t>
  </si>
  <si>
    <t>RA1 ou RRD - TE (MWh)</t>
  </si>
  <si>
    <t>RA0 ou RV - TUSD</t>
  </si>
  <si>
    <t>RA1 ou RRD - TUSD</t>
  </si>
  <si>
    <t>VARIAÇÃO</t>
  </si>
  <si>
    <t>RA0 ou RV - TE</t>
  </si>
  <si>
    <t>RA1 ou RRD - TE</t>
  </si>
  <si>
    <t>RA0 ou RV</t>
  </si>
  <si>
    <t>RA1 ou RRD</t>
  </si>
  <si>
    <t>A</t>
  </si>
  <si>
    <t>A+B</t>
  </si>
  <si>
    <t>Rótulos de Linha</t>
  </si>
  <si>
    <t>Soma de RA0 ou RV - TUSD (kW)</t>
  </si>
  <si>
    <t>Soma de RA1 ou RRD - TUSD (kW)</t>
  </si>
  <si>
    <t>Soma de RA0 ou RV - TUSD (MWh)</t>
  </si>
  <si>
    <t>Soma de RA1 ou RRD - TUSD (MWh)</t>
  </si>
  <si>
    <t>Soma de RA0 ou RV - TE (MWh)</t>
  </si>
  <si>
    <t>Soma de RA1 ou RRD - TE (MWh)</t>
  </si>
  <si>
    <t>Soma de Variação TUSD</t>
  </si>
  <si>
    <t>Soma de Variação TE</t>
  </si>
  <si>
    <t>Soma de Variação</t>
  </si>
  <si>
    <t>SUBSIDIO kW - TV</t>
  </si>
  <si>
    <t>SUBSIDIO MWh - TV</t>
  </si>
  <si>
    <t>SUBSIDIO kW - TN</t>
  </si>
  <si>
    <t>SUBSIDIO MWh - TN</t>
  </si>
  <si>
    <t>TIPO</t>
  </si>
  <si>
    <t>SUBSIDIO ÁGUA, ESGOTO E SANEAMENTO</t>
  </si>
  <si>
    <t>SUBSIDIO RURAL</t>
  </si>
  <si>
    <t>SUBSIDIO BAIXA RENDA</t>
  </si>
  <si>
    <t>R$ (TV)</t>
  </si>
  <si>
    <t>R$ (TN)</t>
  </si>
  <si>
    <t>SUBSIDIO CARGA FONTE INCENTIVADA</t>
  </si>
  <si>
    <t>SUBSIDIO GERAÇÃO FONTE INCENTIVADA</t>
  </si>
  <si>
    <t>SUBSIDIO DISTRIBUIÇÃO</t>
  </si>
  <si>
    <t>SUBSIDIO IRRIGANTE/AQUICULTOR</t>
  </si>
  <si>
    <t>AJUSTE ABRACE</t>
  </si>
  <si>
    <t>(vazio)</t>
  </si>
  <si>
    <t>Soma de SUBSIDIO kW - TV</t>
  </si>
  <si>
    <t>Soma de SUBSIDIO MWh - TV</t>
  </si>
  <si>
    <t>Soma de SUBSIDIO kW - TN</t>
  </si>
  <si>
    <t>Soma de SUBSIDIO MWh - TN</t>
  </si>
  <si>
    <t>Soma de TOTAL TV</t>
  </si>
  <si>
    <t>Soma de TOTAL TN</t>
  </si>
  <si>
    <t>Convencional1RuralNão se aplicaRuralB2</t>
  </si>
  <si>
    <t>2021</t>
  </si>
  <si>
    <t>Azul1RuralNão se aplicaPlanilha CustoA4</t>
  </si>
  <si>
    <t>Verde1RuralNão se aplicaPlanilha CustoA4</t>
  </si>
  <si>
    <t>Convencional1RuralNão se aplicaPlanilha CustoA4</t>
  </si>
  <si>
    <t>Azul1Serviço públicoÁgua, esgoto e saneamentoPlanilha CUSTOA4</t>
  </si>
  <si>
    <t>Verde1Serviço públicoÁgua, esgoto e saneamentoPlanilha CUSTOA4</t>
  </si>
  <si>
    <t>Convencional 1Serviço públicoÁgua, esgoto e saneamentoPlanilha CUSTOA4</t>
  </si>
  <si>
    <t>Branca1RuralNão se aplicaRuralB2</t>
  </si>
  <si>
    <t>Convencional1RuralCooperativa de eletrificação ruralPlanilha CUSTOB2</t>
  </si>
  <si>
    <t>Branca 1RuralCooperativa de eletrificação ruralPlanilha CUSTOB2</t>
  </si>
  <si>
    <t>Convencional1RuralServiço público de irrigação ruralPlanilha CUSTOB2</t>
  </si>
  <si>
    <t>Branca 1RuralServiço público de irrigação ruralPlanilha CUSTOB2</t>
  </si>
  <si>
    <t>Convencional1Serviço públicoÁgua, esgoto e saneamentoPlanilha CUSTOB3</t>
  </si>
  <si>
    <t>Branca1Serviço públicoÁgua, esgoto e saneamentoPlanilha CUSTOB3</t>
  </si>
  <si>
    <t>Chave</t>
  </si>
  <si>
    <t>Cod</t>
  </si>
  <si>
    <t>idagente</t>
  </si>
  <si>
    <t>IdUC</t>
  </si>
  <si>
    <t>SubClasse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</si>
  <si>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</si>
  <si>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</si>
  <si>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</si>
  <si>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</si>
  <si>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</si>
  <si>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</si>
  <si>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</si>
  <si>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</si>
  <si>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</si>
  <si>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Passo_Atual</t>
  </si>
  <si>
    <t>FRC</t>
  </si>
  <si>
    <t>OPERAÇÃO E MANUTENÇÃO - O&amp;M (R$)</t>
  </si>
  <si>
    <t>TAXA DE DEPRECIAÇÃO - D (%)</t>
  </si>
  <si>
    <t>PARCELA B REVISÃO (R$)</t>
  </si>
  <si>
    <t>CARGA TRIBUTÁRIA (%)</t>
  </si>
  <si>
    <t>WACC ANTES DOS TRIBUTOS (%)</t>
  </si>
  <si>
    <t>VALOR</t>
  </si>
  <si>
    <t>DESCRIÇÃO PARÂMETROS</t>
  </si>
  <si>
    <t>TUSD FIO B - FORA PONTA (R$/kW)</t>
  </si>
  <si>
    <t>K</t>
  </si>
  <si>
    <t>B4b</t>
  </si>
  <si>
    <t>B4a</t>
  </si>
  <si>
    <t>B2-IRRIGANTE</t>
  </si>
  <si>
    <t>B2-RURAL</t>
  </si>
  <si>
    <t>SUBGRUPO TARIFÁRIO</t>
  </si>
  <si>
    <t>TABELA 1 - TARIFAS DE APLICAÇÃO E BASE ECONÔMICA PARA O GRUPO A</t>
  </si>
  <si>
    <t>ACESSANTE</t>
  </si>
  <si>
    <t>TARIFAS DE APLICAÇÃO</t>
  </si>
  <si>
    <t>R$/kW</t>
  </si>
  <si>
    <t>R$/MWh</t>
  </si>
  <si>
    <t>P</t>
  </si>
  <si>
    <t>FP</t>
  </si>
  <si>
    <t>Azul APE</t>
  </si>
  <si>
    <t>NA</t>
  </si>
  <si>
    <t>Verde APE</t>
  </si>
  <si>
    <t>TABELA 2 - TARIFAS DE APLICAÇÃO E BASE ECONÔMICA PARA O GRUPO B</t>
  </si>
  <si>
    <t>BRANCA</t>
  </si>
  <si>
    <t>RESIDENCIAL</t>
  </si>
  <si>
    <t>INT</t>
  </si>
  <si>
    <t>PRÉ-PAGAMENTO</t>
  </si>
  <si>
    <t>BAIXA RENDA</t>
  </si>
  <si>
    <t>CONVENCIONAL</t>
  </si>
  <si>
    <t>RURAL</t>
  </si>
  <si>
    <t>NÃO SE APLICA</t>
  </si>
  <si>
    <t>COOPERATIVA DE ELETRIFICAÇÃO RURAL</t>
  </si>
  <si>
    <t>SERVIÇO PÚBLICO DE IRRIGAÇÃO RURAL</t>
  </si>
  <si>
    <t>ILUMINAÇÃO PÚBLICA</t>
  </si>
  <si>
    <t>ILUMINAÇÃO PÚBLICA – B4A</t>
  </si>
  <si>
    <t>ILUMINAÇÃO PÚBLICA – B4B</t>
  </si>
  <si>
    <t>GERAÇÃO</t>
  </si>
  <si>
    <t>Total TUSD</t>
  </si>
  <si>
    <t>Total TE</t>
  </si>
  <si>
    <t>TUSD_CDE_COVID</t>
  </si>
  <si>
    <t>TUSD_TFSEE</t>
  </si>
  <si>
    <t>TUSD_PeD</t>
  </si>
  <si>
    <t>TUSD_ONS</t>
  </si>
  <si>
    <t>TUSD_CCC</t>
  </si>
  <si>
    <t>TUSD_CDE</t>
  </si>
  <si>
    <t>TUSD_PROINFA</t>
  </si>
  <si>
    <t>Liminar1</t>
  </si>
  <si>
    <t>TUSD_RB</t>
  </si>
  <si>
    <t>TUSD_FR</t>
  </si>
  <si>
    <t>TUSD_CCT</t>
  </si>
  <si>
    <t>TUSD_CCD</t>
  </si>
  <si>
    <t>TUSD_CUSD</t>
  </si>
  <si>
    <t>TUSDG_T</t>
  </si>
  <si>
    <t>TUSDG_ONS</t>
  </si>
  <si>
    <t>TUSD_FioB</t>
  </si>
  <si>
    <t>TUSD Subsidio</t>
  </si>
  <si>
    <t>TUSD BENEFICIO_L14299</t>
  </si>
  <si>
    <t>TUSD Outros</t>
  </si>
  <si>
    <t>TUSD_PT</t>
  </si>
  <si>
    <t>TUSD_Per_RB_D</t>
  </si>
  <si>
    <t>TUSD_PNT</t>
  </si>
  <si>
    <t>TUSD_RI</t>
  </si>
  <si>
    <t>TE_CDE_COVID</t>
  </si>
  <si>
    <t>TE_CDE_ELET</t>
  </si>
  <si>
    <t>TE_PeD</t>
  </si>
  <si>
    <t>TE_ESSERR</t>
  </si>
  <si>
    <t>TE_CFURH</t>
  </si>
  <si>
    <t>TE_ENERGIA</t>
  </si>
  <si>
    <t>TE_TRANSPORTE_ITAIPU</t>
  </si>
  <si>
    <t>TE_TUST_ITAIPU</t>
  </si>
  <si>
    <t>TE_TUST_CI</t>
  </si>
  <si>
    <t>TE Subsidio</t>
  </si>
  <si>
    <t>TE BENEFICIO_L14299</t>
  </si>
  <si>
    <t>TE_Per_RB</t>
  </si>
  <si>
    <t>Baixa Renda</t>
  </si>
  <si>
    <t>Perdas</t>
  </si>
  <si>
    <t xml:space="preserve">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</si>
</sst>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_);[Red]\(#,##0.00%\)"/>
    <numFmt numFmtId="165" formatCode="#0.00%;[Red]#0.00%"/>
    <numFmt numFmtId="166" formatCode="0.00%_);[Red]\(0.00%\)"/>
    <numFmt numFmtId="167" formatCode="#,##0.00_ ;[Red]\-#,##0.00\ "/>
    <numFmt numFmtId="168" formatCode="#,##0.00;[Red]#,##0.00"/>
  </numFmts>
  <fonts count="12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10"/>
      <name val="Calibri"/>
      <family val="2"/>
      <scheme val="minor"/>
    </font>
    <font>
      <sz val="8"/>
      <color indexed="10"/>
      <name val="Arial"/>
      <family val="2"/>
    </font>
    <font>
      <sz val="8"/>
      <color theme="3" tint="-0.249977111117893"/>
      <name val="Arial"/>
      <family val="2"/>
    </font>
    <font>
      <b/>
      <sz val="8"/>
      <color theme="0"/>
      <name val="Arial"/>
      <family val="2"/>
    </font>
    <font>
      <sz val="8"/>
      <name val="Calibri"/>
      <family val="2"/>
      <scheme val="minor"/>
    </font>
    <font>
      <sz val="8"/>
      <color theme="1" tint="4.9989318521683403E-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4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40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0" fontId="3" fillId="0" borderId="0" xfId="0" applyFont="1"/>
    <xf numFmtId="40" fontId="3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3" fillId="0" borderId="8" xfId="0" applyNumberFormat="1" applyFont="1" applyBorder="1" applyAlignment="1">
      <alignment vertical="center"/>
    </xf>
    <xf numFmtId="40" fontId="4" fillId="0" borderId="8" xfId="0" applyNumberFormat="1" applyFont="1" applyBorder="1" applyAlignment="1">
      <alignment horizontal="center" vertical="center"/>
    </xf>
    <xf numFmtId="40" fontId="3" fillId="0" borderId="9" xfId="0" applyNumberFormat="1" applyFont="1" applyBorder="1" applyAlignment="1">
      <alignment vertical="center"/>
    </xf>
    <xf numFmtId="40" fontId="4" fillId="0" borderId="9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40" fontId="3" fillId="0" borderId="13" xfId="0" applyNumberFormat="1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40" fontId="3" fillId="0" borderId="13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40" fontId="4" fillId="0" borderId="13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10" xfId="0" applyBorder="1"/>
    <xf numFmtId="0" fontId="0" fillId="0" borderId="13" xfId="0" applyBorder="1"/>
    <xf numFmtId="0" fontId="6" fillId="2" borderId="13" xfId="0" applyFont="1" applyFill="1" applyBorder="1"/>
    <xf numFmtId="0" fontId="2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40" fontId="1" fillId="0" borderId="13" xfId="0" applyNumberFormat="1" applyFont="1" applyBorder="1" applyAlignment="1">
      <alignment horizontal="center" vertical="center"/>
    </xf>
    <xf numFmtId="165" fontId="1" fillId="0" borderId="13" xfId="0" applyNumberFormat="1" applyFont="1" applyBorder="1" applyAlignment="1">
      <alignment horizontal="center" vertical="center"/>
    </xf>
    <xf numFmtId="0" fontId="3" fillId="0" borderId="0" xfId="0" pivotButton="1" applyFont="1"/>
    <xf numFmtId="40" fontId="3" fillId="0" borderId="0" xfId="0" applyNumberFormat="1" applyFont="1"/>
    <xf numFmtId="166" fontId="3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3"/>
    </xf>
    <xf numFmtId="0" fontId="3" fillId="0" borderId="0" xfId="0" applyFont="1" applyAlignment="1">
      <alignment horizontal="left" indent="4"/>
    </xf>
    <xf numFmtId="0" fontId="3" fillId="0" borderId="0" xfId="0" applyFont="1" applyAlignment="1">
      <alignment horizontal="left" indent="5"/>
    </xf>
    <xf numFmtId="0" fontId="3" fillId="0" borderId="0" xfId="0" applyFont="1" applyAlignment="1">
      <alignment horizontal="left" indent="6"/>
    </xf>
    <xf numFmtId="0" fontId="3" fillId="0" borderId="0" xfId="0" applyFont="1" applyAlignment="1">
      <alignment horizontal="left" indent="7"/>
    </xf>
    <xf numFmtId="14" fontId="3" fillId="0" borderId="0" xfId="0" applyNumberFormat="1" applyFont="1" applyAlignment="1">
      <alignment horizontal="left" indent="8"/>
    </xf>
    <xf numFmtId="0" fontId="3" fillId="0" borderId="13" xfId="0" applyFont="1" applyBorder="1"/>
    <xf numFmtId="0" fontId="4" fillId="0" borderId="13" xfId="0" applyFont="1" applyBorder="1"/>
    <xf numFmtId="40" fontId="1" fillId="3" borderId="0" xfId="0" applyNumberFormat="1" applyFont="1" applyFill="1" applyAlignment="1">
      <alignment horizontal="center" vertical="center"/>
    </xf>
    <xf numFmtId="40" fontId="7" fillId="3" borderId="0" xfId="0" applyNumberFormat="1" applyFont="1" applyFill="1" applyAlignment="1">
      <alignment horizontal="center" vertical="center"/>
    </xf>
    <xf numFmtId="0" fontId="3" fillId="0" borderId="13" xfId="0" applyFont="1" applyBorder="1" applyAlignment="1">
      <alignment vertical="center"/>
    </xf>
    <xf numFmtId="164" fontId="3" fillId="0" borderId="13" xfId="0" applyNumberFormat="1" applyFont="1" applyBorder="1" applyAlignment="1">
      <alignment vertical="center"/>
    </xf>
    <xf numFmtId="40" fontId="3" fillId="0" borderId="13" xfId="0" applyNumberFormat="1" applyFont="1" applyBorder="1" applyAlignment="1">
      <alignment horizontal="left" vertical="center" indent="1"/>
    </xf>
    <xf numFmtId="40" fontId="3" fillId="0" borderId="13" xfId="0" quotePrefix="1" applyNumberFormat="1" applyFont="1" applyBorder="1" applyAlignment="1">
      <alignment horizontal="left" vertical="center" indent="1"/>
    </xf>
    <xf numFmtId="40" fontId="3" fillId="0" borderId="13" xfId="0" applyNumberFormat="1" applyFont="1" applyBorder="1"/>
    <xf numFmtId="167" fontId="3" fillId="0" borderId="0" xfId="0" applyNumberFormat="1" applyFont="1"/>
    <xf numFmtId="40" fontId="3" fillId="3" borderId="13" xfId="0" applyNumberFormat="1" applyFont="1" applyFill="1" applyBorder="1" applyAlignment="1">
      <alignment vertical="center"/>
    </xf>
    <xf numFmtId="10" fontId="3" fillId="0" borderId="0" xfId="0" applyNumberFormat="1" applyFont="1"/>
    <xf numFmtId="2" fontId="8" fillId="4" borderId="15" xfId="0" applyNumberFormat="1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left" vertical="center" indent="1"/>
    </xf>
    <xf numFmtId="4" fontId="8" fillId="5" borderId="0" xfId="0" applyNumberFormat="1" applyFont="1" applyFill="1" applyAlignment="1">
      <alignment vertical="center"/>
    </xf>
    <xf numFmtId="0" fontId="8" fillId="5" borderId="0" xfId="0" applyFont="1" applyFill="1" applyAlignment="1">
      <alignment horizontal="left" vertical="center" indent="1"/>
    </xf>
    <xf numFmtId="10" fontId="8" fillId="4" borderId="0" xfId="0" applyNumberFormat="1" applyFont="1" applyFill="1" applyAlignment="1">
      <alignment vertical="center"/>
    </xf>
    <xf numFmtId="0" fontId="8" fillId="4" borderId="0" xfId="0" applyFont="1" applyFill="1" applyAlignment="1">
      <alignment horizontal="left" vertical="center" indent="1"/>
    </xf>
    <xf numFmtId="10" fontId="8" fillId="5" borderId="0" xfId="0" applyNumberFormat="1" applyFont="1" applyFill="1" applyAlignment="1">
      <alignment vertical="center"/>
    </xf>
    <xf numFmtId="0" fontId="9" fillId="6" borderId="16" xfId="0" applyFont="1" applyFill="1" applyBorder="1" applyAlignment="1">
      <alignment horizontal="center" vertical="center"/>
    </xf>
    <xf numFmtId="40" fontId="8" fillId="4" borderId="15" xfId="0" applyNumberFormat="1" applyFont="1" applyFill="1" applyBorder="1" applyAlignment="1">
      <alignment horizontal="center" vertical="center"/>
    </xf>
    <xf numFmtId="168" fontId="8" fillId="5" borderId="0" xfId="0" applyNumberFormat="1" applyFont="1" applyFill="1" applyAlignment="1">
      <alignment horizontal="center" vertical="center"/>
    </xf>
    <xf numFmtId="40" fontId="3" fillId="0" borderId="1" xfId="0" applyNumberFormat="1" applyFont="1" applyBorder="1" applyAlignment="1">
      <alignment horizontal="left" vertical="center"/>
    </xf>
    <xf numFmtId="40" fontId="0" fillId="0" borderId="1" xfId="0" applyNumberFormat="1" applyBorder="1" applyAlignment="1">
      <alignment horizontal="left" vertical="center"/>
    </xf>
    <xf numFmtId="40" fontId="3" fillId="0" borderId="1" xfId="0" applyNumberFormat="1" applyFont="1" applyBorder="1" applyAlignment="1">
      <alignment vertical="center"/>
    </xf>
    <xf numFmtId="40" fontId="0" fillId="0" borderId="1" xfId="0" applyNumberForma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13" xfId="0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0" fontId="3" fillId="0" borderId="8" xfId="0" applyNumberFormat="1" applyFont="1" applyBorder="1" applyAlignment="1">
      <alignment horizontal="left" vertical="center"/>
    </xf>
    <xf numFmtId="40" fontId="4" fillId="0" borderId="10" xfId="0" applyNumberFormat="1" applyFont="1" applyBorder="1" applyAlignment="1">
      <alignment horizontal="center" vertical="center"/>
    </xf>
    <xf numFmtId="40" fontId="5" fillId="0" borderId="11" xfId="0" applyNumberFormat="1" applyFont="1" applyBorder="1" applyAlignment="1">
      <alignment horizontal="center" vertical="center"/>
    </xf>
    <xf numFmtId="40" fontId="5" fillId="0" borderId="12" xfId="0" applyNumberFormat="1" applyFont="1" applyBorder="1" applyAlignment="1">
      <alignment horizontal="center" vertical="center"/>
    </xf>
    <xf numFmtId="40" fontId="3" fillId="0" borderId="13" xfId="0" applyNumberFormat="1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" fontId="11" fillId="7" borderId="18" xfId="0" applyNumberFormat="1" applyFont="1" applyFill="1" applyBorder="1"/>
    <xf numFmtId="4" fontId="11" fillId="7" borderId="12" xfId="0" applyNumberFormat="1" applyFont="1" applyFill="1" applyBorder="1"/>
    <xf numFmtId="4" fontId="11" fillId="7" borderId="19" xfId="0" applyNumberFormat="1" applyFont="1" applyFill="1" applyBorder="1"/>
    <xf numFmtId="4" fontId="11" fillId="7" borderId="6" xfId="0" applyNumberFormat="1" applyFont="1" applyFill="1" applyBorder="1"/>
    <xf numFmtId="4" fontId="11" fillId="7" borderId="13" xfId="0" applyNumberFormat="1" applyFont="1" applyFill="1" applyBorder="1"/>
    <xf numFmtId="4" fontId="11" fillId="7" borderId="5" xfId="0" applyNumberFormat="1" applyFont="1" applyFill="1" applyBorder="1"/>
    <xf numFmtId="4" fontId="11" fillId="7" borderId="20" xfId="0" applyNumberFormat="1" applyFont="1" applyFill="1" applyBorder="1"/>
    <xf numFmtId="4" fontId="11" fillId="7" borderId="10" xfId="0" applyNumberFormat="1" applyFont="1" applyFill="1" applyBorder="1"/>
    <xf numFmtId="4" fontId="11" fillId="7" borderId="17" xfId="0" applyNumberFormat="1" applyFont="1" applyFill="1" applyBorder="1"/>
    <xf numFmtId="4" fontId="11" fillId="7" borderId="13" xfId="0" applyNumberFormat="1" applyFont="1" applyFill="1" applyBorder="1" applyAlignment="1">
      <alignment horizontal="center"/>
    </xf>
    <xf numFmtId="4" fontId="11" fillId="7" borderId="12" xfId="0" applyNumberFormat="1" applyFont="1" applyFill="1" applyBorder="1" applyAlignment="1">
      <alignment horizontal="center"/>
    </xf>
    <xf numFmtId="4" fontId="11" fillId="7" borderId="19" xfId="0" applyNumberFormat="1" applyFont="1" applyFill="1" applyBorder="1" applyAlignment="1">
      <alignment horizontal="center"/>
    </xf>
    <xf numFmtId="4" fontId="11" fillId="7" borderId="19" xfId="0" applyNumberFormat="1" applyFont="1" applyFill="1" applyBorder="1" applyAlignment="1">
      <alignment horizontal="center"/>
    </xf>
    <xf numFmtId="4" fontId="11" fillId="7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859"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9" formatCode="#,##0.00_);[Red]\(#,##0.00\)"/>
    </dxf>
    <dxf>
      <numFmt numFmtId="169" formatCode="#,##0.00_);[Red]\(#,##0.00\)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font>
        <sz val="8"/>
      </font>
    </dxf>
    <dxf>
      <numFmt numFmtId="166" formatCode="0.00%_);[Red]\(0.00%\)"/>
    </dxf>
    <dxf>
      <numFmt numFmtId="166" formatCode="0.00%_);[Red]\(0.00%\)"/>
    </dxf>
    <dxf>
      <numFmt numFmtId="169" formatCode="#,##0.00_);[Red]\(#,##0.00\)"/>
    </dxf>
    <dxf>
      <numFmt numFmtId="169" formatCode="#,##0.00_);[Red]\(#,##0.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9" formatCode="#,##0.00_);[Red]\(#,##0.0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70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  <dxf>
      <font>
        <color rgb="FF006100"/>
      </font>
      <fill>
        <patternFill>
          <fgColor indexed="64"/>
          <bgColor rgb="FFC6EFCE"/>
        </patternFill>
      </fill>
    </dxf>
    <dxf>
      <font>
        <color rgb="FFFFFF00"/>
      </font>
      <fill>
        <patternFill>
          <fgColor indexed="64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04.469320601849" createdVersion="5" refreshedVersion="8" minRefreshableVersion="3" recordCount="351" xr:uid="{7A7856CC-EB17-4ADA-AE08-FCAC3BF00190}">
  <cacheSource type="worksheet">
    <worksheetSource name="Efeito"/>
  </cacheSource>
  <cacheFields count="36">
    <cacheField name="TipoMercado" numFmtId="0">
      <sharedItems/>
    </cacheField>
    <cacheField name="Subgrupo" numFmtId="0">
      <sharedItems count="5">
        <s v="A4"/>
        <s v="B1"/>
        <s v="B2"/>
        <s v="B3"/>
        <s v="B4"/>
      </sharedItems>
    </cacheField>
    <cacheField name="Modalidade" numFmtId="0">
      <sharedItems count="4">
        <s v="Azul"/>
        <s v="Verde"/>
        <s v="Convencional"/>
        <s v="Branca"/>
      </sharedItems>
    </cacheField>
    <cacheField name="Classe" numFmtId="0">
      <sharedItems count="8">
        <s v="Serviço público"/>
        <s v="Industrial"/>
        <s v="Rural"/>
        <s v="Residencial"/>
        <s v="Comercial"/>
        <s v="Consumo próprio"/>
        <s v="Poder público"/>
        <s v="Iluminação pública"/>
      </sharedItems>
    </cacheField>
    <cacheField name="Subclasse" numFmtId="0">
      <sharedItems count="8">
        <s v="Água, esgoto e saneamento"/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  <s v="Iluminação pública – B4a"/>
      </sharedItems>
    </cacheField>
    <cacheField name="Detalhe" numFmtId="0">
      <sharedItems count="1">
        <s v="Não se aplica"/>
      </sharedItems>
    </cacheField>
    <cacheField name="Agente" numFmtId="0">
      <sharedItems count="1">
        <s v="Não se aplica"/>
      </sharedItems>
    </cacheField>
    <cacheField name="Posto" numFmtId="0">
      <sharedItems count="4">
        <s v="Fora ponta"/>
        <s v="Ponta"/>
        <s v="Não se aplica"/>
        <s v="Intermediário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1-11-01T00:00:00"/>
        <d v="2021-12-01T00:00:00"/>
        <d v="2022-01-01T00:00:00"/>
        <d v="2022-02-01T00:00:00"/>
        <d v="2022-03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-25" maxValue="10919"/>
    </cacheField>
    <cacheField name="Daj" numFmtId="40">
      <sharedItems containsSemiMixedTypes="0" containsString="0" containsNumber="1" minValue="-25" maxValue="10919"/>
    </cacheField>
    <cacheField name="TUSD_E" numFmtId="40">
      <sharedItems containsSemiMixedTypes="0" containsString="0" containsNumber="1" minValue="-190.22" maxValue="2624.4560000000001"/>
    </cacheField>
    <cacheField name="TUSD_Eaj" numFmtId="40">
      <sharedItems containsSemiMixedTypes="0" containsString="0" containsNumber="1" minValue="-190.22" maxValue="2624.4560000000001"/>
    </cacheField>
    <cacheField name="TE_E" numFmtId="40">
      <sharedItems containsSemiMixedTypes="0" containsString="0" containsNumber="1" minValue="-190.22" maxValue="2624.4560000000001"/>
    </cacheField>
    <cacheField name="TE_Eaj" numFmtId="40">
      <sharedItems containsSemiMixedTypes="0" containsString="0" containsNumber="1" minValue="-190.22" maxValue="2624.4560000000001"/>
    </cacheField>
    <cacheField name="UC" numFmtId="40">
      <sharedItems containsSemiMixedTypes="0" containsString="0" containsNumber="1" containsInteger="1" minValue="0" maxValue="3127"/>
    </cacheField>
    <cacheField name="OPÇÃO" numFmtId="0">
      <sharedItems count="1">
        <s v="CATIVO"/>
      </sharedItems>
    </cacheField>
    <cacheField name="CóD. AUX." numFmtId="0">
      <sharedItems containsSemiMixedTypes="0" containsString="0" containsNumber="1" containsInteger="1" minValue="0" maxValue="0"/>
    </cacheField>
    <cacheField name="CóD. AUX. TUSD R$/kW" numFmtId="40">
      <sharedItems containsSemiMixedTypes="0" containsString="0" containsNumber="1" containsInteger="1" minValue="0" maxValue="31"/>
    </cacheField>
    <cacheField name="CóD. AUX. TUSD R$/MWh" numFmtId="40">
      <sharedItems containsSemiMixedTypes="0" containsString="0" containsNumber="1" containsInteger="1" minValue="0" maxValue="50"/>
    </cacheField>
    <cacheField name="CóD. AUX. TE R$/MWh" numFmtId="40">
      <sharedItems containsSemiMixedTypes="0" containsString="0" containsNumber="1" containsInteger="1" minValue="0" maxValue="82"/>
    </cacheField>
    <cacheField name="TUSD (R$/kW)" numFmtId="40">
      <sharedItems containsSemiMixedTypes="0" containsString="0" containsNumber="1" minValue="0" maxValue="116.14"/>
    </cacheField>
    <cacheField name="TUSD (R$/MWh)" numFmtId="40">
      <sharedItems containsSemiMixedTypes="0" containsString="0" containsNumber="1" minValue="0" maxValue="2859.84"/>
    </cacheField>
    <cacheField name="TE (R$/MWh)" numFmtId="40">
      <sharedItems containsSemiMixedTypes="0" containsString="0" containsNumber="1" minValue="0" maxValue="119.97"/>
    </cacheField>
    <cacheField name="TUSD (R$/kW) NOVA" numFmtId="40">
      <sharedItems containsString="0" containsBlank="1" containsNumber="1" minValue="40.015880356222226" maxValue="109.89317868643562"/>
    </cacheField>
    <cacheField name="TUSD (R$/MWh) NOVA" numFmtId="40">
      <sharedItems containsString="0" containsBlank="1" containsNumber="1" minValue="98.415755172877127" maxValue="2742.094396913973"/>
    </cacheField>
    <cacheField name="TE (R$/MWh) NOVA" numFmtId="40">
      <sharedItems containsString="0" containsBlank="1" containsNumber="1" minValue="38.033585549250816" maxValue="108.66738728357376"/>
    </cacheField>
    <cacheField name="RA0 ou RV - TUSD (kW)" numFmtId="40">
      <sharedItems containsSemiMixedTypes="0" containsString="0" containsNumber="1" minValue="-1028.75" maxValue="449316.85"/>
    </cacheField>
    <cacheField name="RA0 ou RV - TUSD (MWh)" numFmtId="40">
      <sharedItems containsSemiMixedTypes="0" containsString="0" containsNumber="1" minValue="-115855.39319999999" maxValue="470231.47265999997"/>
    </cacheField>
    <cacheField name="RA0 ou RV - TE (MWh)" numFmtId="40">
      <sharedItems containsSemiMixedTypes="0" containsString="0" containsNumber="1" minValue="-22820.6934" maxValue="314855.98632000003"/>
    </cacheField>
    <cacheField name="RA1 ou RRD - TUSD (kW)" numFmtId="40">
      <sharedItems containsSemiMixedTypes="0" containsString="0" containsNumber="1" minValue="-1000.3970089055556" maxValue="436933.39760959049"/>
    </cacheField>
    <cacheField name="RA1 ou RRD - TUSD (MWh)" numFmtId="40">
      <sharedItems containsSemiMixedTypes="0" containsString="0" containsNumber="1" minValue="-116847.07763037483" maxValue="474256.50090623921"/>
    </cacheField>
    <cacheField name="RA1 ou RRD - TE (MWh)" numFmtId="40">
      <sharedItems containsSemiMixedTypes="0" containsString="0" containsNumber="1" minValue="-20670.710409081399" maxValue="285192.77656069887"/>
    </cacheField>
    <cacheField name="Variação TUSD" numFmtId="0" formula="IF(('RA0 ou RV - TUSD (MWh)'+'RA0 ou RV - TUSD (kW)') &lt;&gt;0,('RA1 ou RRD - TUSD (MWh)'+'RA1 ou RRD - TUSD (kW)') /('RA0 ou RV - TUSD (MWh)'+'RA0 ou RV - TUSD (kW)') -1,0)" databaseField="0"/>
    <cacheField name="Variação TE" numFmtId="0" formula="IF('RA0 ou RV - TE (MWh)'&lt;&gt;0,'RA1 ou RRD - TE (MWh)'/'RA0 ou RV - TE (MWh)'-1,0)" databaseField="0"/>
    <cacheField name="Variação" numFmtId="0" formula="IF(('RA0 ou RV - TUSD (MWh)'+'RA0 ou RV - TUSD (kW)'+'RA0 ou RV - TE (MWh)') &lt;&gt;0,('RA1 ou RRD - TUSD (MWh)'+'RA1 ou RRD - TUSD (kW)'+'RA1 ou RRD - TE (MWh)') /('RA0 ou RV - TUSD (MWh)'+'RA0 ou RV - TUSD (kW)'+'RA0 ou RV - TE (MWh)') -1,0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istrador" refreshedDate="44804.469364467594" createdVersion="5" refreshedVersion="8" minRefreshableVersion="3" recordCount="133" xr:uid="{0D641748-0558-44B6-89CC-6F9260061A55}">
  <cacheSource type="worksheet">
    <worksheetSource name="Subsidio"/>
  </cacheSource>
  <cacheFields count="34">
    <cacheField name="TipoMercado" numFmtId="0">
      <sharedItems/>
    </cacheField>
    <cacheField name="Subgrupo" numFmtId="0">
      <sharedItems count="4">
        <s v="A4"/>
        <s v="B1"/>
        <s v="B2"/>
        <s v="B3"/>
      </sharedItems>
    </cacheField>
    <cacheField name="Modalidade" numFmtId="0">
      <sharedItems count="3">
        <s v="Azul"/>
        <s v="Verde"/>
        <s v="Convencional"/>
      </sharedItems>
    </cacheField>
    <cacheField name="Classe" numFmtId="0">
      <sharedItems count="3">
        <s v="Serviço público"/>
        <s v="Rural"/>
        <s v="Residencial"/>
      </sharedItems>
    </cacheField>
    <cacheField name="Subclasse" numFmtId="0">
      <sharedItems count="7">
        <s v="Água, esgoto e saneamento"/>
        <s v="Não se aplica"/>
        <s v="Residencial"/>
        <s v="Residencial baixa renda – faixa 01"/>
        <s v="Residencial baixa renda – faixa 02"/>
        <s v="Residencial baixa renda – faixa 03"/>
        <s v="Residencial baixa renda – faixa 04"/>
      </sharedItems>
    </cacheField>
    <cacheField name="Detalhe" numFmtId="0">
      <sharedItems count="1">
        <s v="Não se aplica"/>
      </sharedItems>
    </cacheField>
    <cacheField name="Agente" numFmtId="0">
      <sharedItems count="1">
        <s v="Não se aplica"/>
      </sharedItems>
    </cacheField>
    <cacheField name="Posto" numFmtId="0">
      <sharedItems count="3">
        <s v="Fora ponta"/>
        <s v="Ponta"/>
        <s v="Não se aplica"/>
      </sharedItems>
    </cacheField>
    <cacheField name="AnoMes" numFmtId="14">
      <sharedItems containsSemiMixedTypes="0" containsNonDate="0" containsDate="1" containsString="0" minDate="2021-09-01T00:00:00" maxDate="2022-08-02T00:00:00" count="12">
        <d v="2021-09-01T00:00:00"/>
        <d v="2021-10-01T00:00:00"/>
        <d v="2022-02-01T00:00:00"/>
        <d v="2022-03-01T00:00:00"/>
        <d v="2021-11-01T00:00:00"/>
        <d v="2021-12-01T00:00:00"/>
        <d v="2022-01-01T00:00:00"/>
        <d v="2022-04-01T00:00:00"/>
        <d v="2022-05-01T00:00:00"/>
        <d v="2022-06-01T00:00:00"/>
        <d v="2022-07-01T00:00:00"/>
        <d v="2022-08-01T00:00:00"/>
      </sharedItems>
    </cacheField>
    <cacheField name="D" numFmtId="40">
      <sharedItems containsSemiMixedTypes="0" containsString="0" containsNumber="1" containsInteger="1" minValue="0" maxValue="101"/>
    </cacheField>
    <cacheField name="Daj" numFmtId="40">
      <sharedItems containsSemiMixedTypes="0" containsString="0" containsNumber="1" minValue="0" maxValue="85.85"/>
    </cacheField>
    <cacheField name="TUSD_E" numFmtId="40">
      <sharedItems containsSemiMixedTypes="0" containsString="0" containsNumber="1" minValue="-19.876000000000001" maxValue="480.62900000000002"/>
    </cacheField>
    <cacheField name="TUSD_Eaj" numFmtId="40">
      <sharedItems containsSemiMixedTypes="0" containsString="0" containsNumber="1" minValue="-19.876000000000001" maxValue="480.62900000000002"/>
    </cacheField>
    <cacheField name="TE_E" numFmtId="40">
      <sharedItems containsSemiMixedTypes="0" containsString="0" containsNumber="1" minValue="-19.876000000000001" maxValue="480.62900000000002"/>
    </cacheField>
    <cacheField name="TE_Eaj" numFmtId="40">
      <sharedItems containsSemiMixedTypes="0" containsString="0" containsNumber="1" minValue="-19.876000000000001" maxValue="480.62900000000002"/>
    </cacheField>
    <cacheField name="UC" numFmtId="40">
      <sharedItems containsSemiMixedTypes="0" containsString="0" containsNumber="1" containsInteger="1" minValue="0" maxValue="3107"/>
    </cacheField>
    <cacheField name="OPÇÃO" numFmtId="0">
      <sharedItems/>
    </cacheField>
    <cacheField name="CóD. AUX." numFmtId="0">
      <sharedItems containsSemiMixedTypes="0" containsString="0" containsNumber="1" containsInteger="1" minValue="0" maxValue="0"/>
    </cacheField>
    <cacheField name="CóD. AUX. TUSD R$/kW" numFmtId="0">
      <sharedItems containsSemiMixedTypes="0" containsString="0" containsNumber="1" containsInteger="1" minValue="0" maxValue="31"/>
    </cacheField>
    <cacheField name="CóD. AUX. TUSD R$/MWh" numFmtId="0">
      <sharedItems containsSemiMixedTypes="0" containsString="0" containsNumber="1" containsInteger="1" minValue="0" maxValue="49"/>
    </cacheField>
    <cacheField name="CóD. AUX. TE R$/MWh" numFmtId="0">
      <sharedItems containsSemiMixedTypes="0" containsString="0" containsNumber="1" containsInteger="1" minValue="0" maxValue="79"/>
    </cacheField>
    <cacheField name="TUSD (R$/kW)" numFmtId="40">
      <sharedItems containsSemiMixedTypes="0" containsString="0" containsNumber="1" minValue="0" maxValue="116.14"/>
    </cacheField>
    <cacheField name="TUSD (R$/MWh)" numFmtId="40">
      <sharedItems containsSemiMixedTypes="0" containsString="0" containsNumber="1" minValue="0" maxValue="2859.84"/>
    </cacheField>
    <cacheField name="TE (R$/MWh)" numFmtId="40">
      <sharedItems containsSemiMixedTypes="0" containsString="0" containsNumber="1" minValue="0" maxValue="119.97"/>
    </cacheField>
    <cacheField name="TUSD (R$/kW) NOVA" numFmtId="40">
      <sharedItems containsString="0" containsBlank="1" containsNumber="1" minValue="40.015880356222226" maxValue="109.89317868643562"/>
    </cacheField>
    <cacheField name="TUSD (R$/MWh) NOVA" numFmtId="40">
      <sharedItems containsString="0" containsBlank="1" containsNumber="1" minValue="98.415755172877127" maxValue="2742.094396913973"/>
    </cacheField>
    <cacheField name="TE (R$/MWh) NOVA" numFmtId="40">
      <sharedItems containsString="0" containsBlank="1" containsNumber="1" minValue="38.033585549250816" maxValue="108.66738728357376"/>
    </cacheField>
    <cacheField name="SUBSIDIO kW - TV" numFmtId="40">
      <sharedItems containsSemiMixedTypes="0" containsString="0" containsNumber="1" minValue="0" maxValue="1759.5210000000006"/>
    </cacheField>
    <cacheField name="SUBSIDIO MWh - TV" numFmtId="40">
      <sharedItems containsSemiMixedTypes="0" containsString="0" containsNumber="1" minValue="-1738.752479999999" maxValue="28444.55939999998"/>
    </cacheField>
    <cacheField name="SUBSIDIO kW - TN" numFmtId="40">
      <sharedItems containsSemiMixedTypes="0" containsString="0" containsNumber="1" minValue="0" maxValue="1664.8816570995002"/>
    </cacheField>
    <cacheField name="SUBSIDIO MWh - TN" numFmtId="40">
      <sharedItems containsSemiMixedTypes="0" containsString="0" containsNumber="1" minValue="-862.15021188273579" maxValue="14104.067827768711"/>
    </cacheField>
    <cacheField name="TIPO" numFmtId="0">
      <sharedItems containsBlank="1" count="4">
        <s v="SUBSIDIO ÁGUA, ESGOTO E SANEAMENTO"/>
        <s v="SUBSIDIO RURAL"/>
        <m/>
        <s v="SUBSIDIO BAIXA RENDA"/>
      </sharedItems>
    </cacheField>
    <cacheField name="TOTAL TV" numFmtId="0" formula="'SUBSIDIO kW - TV'+'SUBSIDIO MWh - TV'" databaseField="0"/>
    <cacheField name="TOTAL TN" numFmtId="0" formula="'SUBSIDIO kW - TN'+'SUBSIDIO MWh - T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51">
  <r>
    <s v="Regular"/>
    <x v="0"/>
    <x v="0"/>
    <x v="0"/>
    <x v="0"/>
    <x v="0"/>
    <x v="0"/>
    <x v="0"/>
    <x v="0"/>
    <n v="100"/>
    <n v="85"/>
    <n v="40.451000000000001"/>
    <n v="38.023940000000003"/>
    <n v="40.451000000000001"/>
    <n v="38.023940000000003"/>
    <n v="0"/>
    <x v="0"/>
    <n v="0"/>
    <n v="21"/>
    <n v="1"/>
    <n v="40"/>
    <n v="41.15"/>
    <n v="66.040000000000006"/>
    <n v="119.97"/>
    <n v="40.015880356222226"/>
    <n v="98.415755172877127"/>
    <n v="108.66738728357376"/>
    <n v="3497.75"/>
    <n v="2511.1009976000005"/>
    <n v="4561.7320818000007"/>
    <n v="3401.3498302788894"/>
    <n v="3742.1547697481697"/>
    <n v="4131.9622140273723"/>
  </r>
  <r>
    <s v="Regular"/>
    <x v="0"/>
    <x v="0"/>
    <x v="0"/>
    <x v="0"/>
    <x v="0"/>
    <x v="0"/>
    <x v="0"/>
    <x v="1"/>
    <n v="101"/>
    <n v="85.85"/>
    <n v="39.823999999999998"/>
    <n v="37.434559999999998"/>
    <n v="39.823999999999998"/>
    <n v="37.434559999999998"/>
    <n v="0"/>
    <x v="0"/>
    <n v="0"/>
    <n v="21"/>
    <n v="1"/>
    <n v="40"/>
    <n v="41.15"/>
    <n v="66.040000000000006"/>
    <n v="119.97"/>
    <n v="40.015880356222226"/>
    <n v="98.415755172877127"/>
    <n v="108.66738728357376"/>
    <n v="3532.7274999999995"/>
    <n v="2472.1783424"/>
    <n v="4491.0241631999997"/>
    <n v="3435.3633285816777"/>
    <n v="3684.1504919643789"/>
    <n v="4067.9158293101787"/>
  </r>
  <r>
    <s v="Regular"/>
    <x v="0"/>
    <x v="0"/>
    <x v="0"/>
    <x v="0"/>
    <x v="0"/>
    <x v="0"/>
    <x v="1"/>
    <x v="0"/>
    <n v="100"/>
    <n v="85"/>
    <n v="4.6870000000000003"/>
    <n v="4.40578"/>
    <n v="4.6870000000000003"/>
    <n v="4.40578"/>
    <n v="0"/>
    <x v="0"/>
    <n v="0"/>
    <n v="31"/>
    <n v="1"/>
    <n v="34"/>
    <n v="116.14"/>
    <n v="66.040000000000006"/>
    <n v="119.97"/>
    <n v="109.89317868643562"/>
    <n v="98.415755172877127"/>
    <n v="108.66738728357376"/>
    <n v="9871.9"/>
    <n v="290.95771120000001"/>
    <n v="528.5614266"/>
    <n v="9340.9201883470269"/>
    <n v="433.59816582555857"/>
    <n v="478.76460154622362"/>
  </r>
  <r>
    <s v="Regular"/>
    <x v="0"/>
    <x v="0"/>
    <x v="0"/>
    <x v="0"/>
    <x v="0"/>
    <x v="0"/>
    <x v="1"/>
    <x v="1"/>
    <n v="101"/>
    <n v="85.85"/>
    <n v="4.5910000000000002"/>
    <n v="4.3155400000000004"/>
    <n v="4.5910000000000002"/>
    <n v="4.3155400000000004"/>
    <n v="0"/>
    <x v="0"/>
    <n v="0"/>
    <n v="31"/>
    <n v="1"/>
    <n v="34"/>
    <n v="116.14"/>
    <n v="66.040000000000006"/>
    <n v="119.97"/>
    <n v="109.89317868643562"/>
    <n v="98.415755172877127"/>
    <n v="108.66738728357376"/>
    <n v="9970.6189999999988"/>
    <n v="284.99826160000003"/>
    <n v="517.73533380000003"/>
    <n v="9434.3293902304977"/>
    <n v="424.71712807875821"/>
    <n v="468.95845651775392"/>
  </r>
  <r>
    <s v="Regular"/>
    <x v="0"/>
    <x v="1"/>
    <x v="1"/>
    <x v="1"/>
    <x v="0"/>
    <x v="0"/>
    <x v="0"/>
    <x v="0"/>
    <n v="0"/>
    <n v="0"/>
    <n v="2450.712"/>
    <n v="2450.712"/>
    <n v="2450.712"/>
    <n v="2450.712"/>
    <n v="0"/>
    <x v="0"/>
    <n v="0"/>
    <n v="0"/>
    <n v="10"/>
    <n v="40"/>
    <n v="0"/>
    <n v="66.040000000000006"/>
    <n v="119.97"/>
    <m/>
    <n v="98.415755172877127"/>
    <n v="108.66738728357376"/>
    <n v="0"/>
    <n v="161845.02048000001"/>
    <n v="294011.91863999999"/>
    <n v="0"/>
    <n v="241188.67219123204"/>
    <n v="266312.47002450161"/>
  </r>
  <r>
    <s v="Regular"/>
    <x v="0"/>
    <x v="1"/>
    <x v="1"/>
    <x v="1"/>
    <x v="0"/>
    <x v="0"/>
    <x v="0"/>
    <x v="1"/>
    <n v="0"/>
    <n v="0"/>
    <n v="2405.5880000000002"/>
    <n v="2405.5880000000002"/>
    <n v="2405.5880000000002"/>
    <n v="2405.5880000000002"/>
    <n v="0"/>
    <x v="0"/>
    <n v="0"/>
    <n v="0"/>
    <n v="10"/>
    <n v="40"/>
    <n v="0"/>
    <n v="66.040000000000006"/>
    <n v="119.97"/>
    <m/>
    <n v="98.415755172877127"/>
    <n v="108.66738728357376"/>
    <n v="0"/>
    <n v="158865.03152000002"/>
    <n v="288598.39236"/>
    <n v="0"/>
    <n v="236747.75965481115"/>
    <n v="261408.96284071766"/>
  </r>
  <r>
    <s v="Regular"/>
    <x v="0"/>
    <x v="1"/>
    <x v="1"/>
    <x v="1"/>
    <x v="0"/>
    <x v="0"/>
    <x v="0"/>
    <x v="2"/>
    <n v="0"/>
    <n v="0"/>
    <n v="2421.614"/>
    <n v="2421.614"/>
    <n v="2421.614"/>
    <n v="2421.614"/>
    <n v="0"/>
    <x v="0"/>
    <n v="0"/>
    <n v="0"/>
    <n v="10"/>
    <n v="40"/>
    <n v="0"/>
    <n v="66.040000000000006"/>
    <n v="119.97"/>
    <m/>
    <n v="98.415755172877127"/>
    <n v="108.66738728357376"/>
    <n v="0"/>
    <n v="159923.38856000002"/>
    <n v="290521.03158000001"/>
    <n v="0"/>
    <n v="238324.97054721168"/>
    <n v="263150.46638932417"/>
  </r>
  <r>
    <s v="Regular"/>
    <x v="0"/>
    <x v="1"/>
    <x v="1"/>
    <x v="1"/>
    <x v="0"/>
    <x v="0"/>
    <x v="0"/>
    <x v="3"/>
    <n v="0"/>
    <n v="0"/>
    <n v="2118.2919999999999"/>
    <n v="2118.2919999999999"/>
    <n v="2118.2919999999999"/>
    <n v="2118.2919999999999"/>
    <n v="0"/>
    <x v="0"/>
    <n v="0"/>
    <n v="0"/>
    <n v="10"/>
    <n v="40"/>
    <n v="0"/>
    <n v="66.040000000000006"/>
    <n v="119.97"/>
    <m/>
    <n v="98.415755172877127"/>
    <n v="108.66738728357376"/>
    <n v="0"/>
    <n v="139892.00367999999"/>
    <n v="254131.49123999997"/>
    <n v="0"/>
    <n v="208473.30685666422"/>
    <n v="230189.25714369601"/>
  </r>
  <r>
    <s v="Sistema de Compensação"/>
    <x v="0"/>
    <x v="1"/>
    <x v="1"/>
    <x v="1"/>
    <x v="0"/>
    <x v="0"/>
    <x v="0"/>
    <x v="3"/>
    <n v="0"/>
    <n v="0"/>
    <n v="4.9939999999999998"/>
    <n v="4.9939999999999998"/>
    <n v="4.9939999999999998"/>
    <n v="4.9939999999999998"/>
    <n v="0"/>
    <x v="0"/>
    <n v="0"/>
    <n v="0"/>
    <n v="10"/>
    <n v="40"/>
    <n v="0"/>
    <n v="66.040000000000006"/>
    <n v="119.97"/>
    <m/>
    <n v="98.415755172877127"/>
    <n v="108.66738728357376"/>
    <n v="0"/>
    <n v="329.80376000000001"/>
    <n v="599.13018"/>
    <n v="0"/>
    <n v="491.48828133334837"/>
    <n v="542.68493209416738"/>
  </r>
  <r>
    <s v="Regular"/>
    <x v="0"/>
    <x v="1"/>
    <x v="1"/>
    <x v="1"/>
    <x v="0"/>
    <x v="0"/>
    <x v="0"/>
    <x v="4"/>
    <n v="0"/>
    <n v="0"/>
    <n v="2232.203"/>
    <n v="2232.203"/>
    <n v="2232.203"/>
    <n v="2232.203"/>
    <n v="0"/>
    <x v="0"/>
    <n v="0"/>
    <n v="0"/>
    <n v="10"/>
    <n v="40"/>
    <n v="0"/>
    <n v="66.040000000000006"/>
    <n v="119.97"/>
    <m/>
    <n v="98.415755172877127"/>
    <n v="108.66738728357376"/>
    <n v="0"/>
    <n v="147414.68612"/>
    <n v="267797.39390999998"/>
    <n v="0"/>
    <n v="219683.94394416185"/>
    <n v="242567.66789655518"/>
  </r>
  <r>
    <s v="Sistema de Compensação"/>
    <x v="0"/>
    <x v="1"/>
    <x v="1"/>
    <x v="1"/>
    <x v="0"/>
    <x v="0"/>
    <x v="0"/>
    <x v="4"/>
    <n v="0"/>
    <n v="0"/>
    <n v="5.4139999999999997"/>
    <n v="5.4139999999999997"/>
    <n v="5.4139999999999997"/>
    <n v="5.4139999999999997"/>
    <n v="0"/>
    <x v="0"/>
    <n v="0"/>
    <n v="0"/>
    <n v="10"/>
    <n v="40"/>
    <n v="0"/>
    <n v="66.040000000000006"/>
    <n v="119.97"/>
    <m/>
    <n v="98.415755172877127"/>
    <n v="108.66738728357376"/>
    <n v="0"/>
    <n v="357.54056000000003"/>
    <n v="649.51757999999995"/>
    <n v="0"/>
    <n v="532.82289850595669"/>
    <n v="588.32523475326832"/>
  </r>
  <r>
    <s v="Regular"/>
    <x v="0"/>
    <x v="1"/>
    <x v="1"/>
    <x v="1"/>
    <x v="0"/>
    <x v="0"/>
    <x v="0"/>
    <x v="5"/>
    <n v="0"/>
    <n v="0"/>
    <n v="2134.518"/>
    <n v="2134.518"/>
    <n v="2134.518"/>
    <n v="2134.518"/>
    <n v="0"/>
    <x v="0"/>
    <n v="0"/>
    <n v="0"/>
    <n v="10"/>
    <n v="40"/>
    <n v="0"/>
    <n v="66.040000000000006"/>
    <n v="119.97"/>
    <m/>
    <n v="98.415755172877127"/>
    <n v="108.66738728357376"/>
    <n v="0"/>
    <n v="140963.56872000001"/>
    <n v="256078.12445999999"/>
    <n v="0"/>
    <n v="210070.20090009933"/>
    <n v="231952.4941697593"/>
  </r>
  <r>
    <s v="Sistema de Compensação"/>
    <x v="0"/>
    <x v="1"/>
    <x v="1"/>
    <x v="1"/>
    <x v="0"/>
    <x v="0"/>
    <x v="0"/>
    <x v="5"/>
    <n v="0"/>
    <n v="0"/>
    <n v="8.0820000000000007"/>
    <n v="8.0820000000000007"/>
    <n v="8.0820000000000007"/>
    <n v="8.0820000000000007"/>
    <n v="0"/>
    <x v="0"/>
    <n v="0"/>
    <n v="0"/>
    <n v="10"/>
    <n v="40"/>
    <n v="0"/>
    <n v="66.040000000000006"/>
    <n v="119.97"/>
    <m/>
    <n v="98.415755172877127"/>
    <n v="108.66738728357376"/>
    <n v="0"/>
    <n v="533.7352800000001"/>
    <n v="969.59754000000009"/>
    <n v="0"/>
    <n v="795.39613330719305"/>
    <n v="878.24982402584317"/>
  </r>
  <r>
    <s v="Regular"/>
    <x v="0"/>
    <x v="1"/>
    <x v="1"/>
    <x v="1"/>
    <x v="0"/>
    <x v="0"/>
    <x v="0"/>
    <x v="6"/>
    <n v="0"/>
    <n v="0"/>
    <n v="2624.4560000000001"/>
    <n v="2624.4560000000001"/>
    <n v="2624.4560000000001"/>
    <n v="2624.4560000000001"/>
    <n v="0"/>
    <x v="0"/>
    <n v="0"/>
    <n v="0"/>
    <n v="10"/>
    <n v="40"/>
    <n v="0"/>
    <n v="66.040000000000006"/>
    <n v="119.97"/>
    <m/>
    <n v="98.415755172877127"/>
    <n v="108.66738728357376"/>
    <n v="0"/>
    <n v="173319.07424000002"/>
    <n v="314855.98632000003"/>
    <n v="0"/>
    <n v="258287.81915798842"/>
    <n v="285192.77656069887"/>
  </r>
  <r>
    <s v="Sistema de Compensação"/>
    <x v="0"/>
    <x v="1"/>
    <x v="1"/>
    <x v="1"/>
    <x v="0"/>
    <x v="0"/>
    <x v="0"/>
    <x v="6"/>
    <n v="0"/>
    <n v="0"/>
    <n v="14.577999999999999"/>
    <n v="14.577999999999999"/>
    <n v="14.577999999999999"/>
    <n v="14.577999999999999"/>
    <n v="0"/>
    <x v="0"/>
    <n v="0"/>
    <n v="0"/>
    <n v="10"/>
    <n v="40"/>
    <n v="0"/>
    <n v="66.040000000000006"/>
    <n v="119.97"/>
    <m/>
    <n v="98.415755172877127"/>
    <n v="108.66738728357376"/>
    <n v="0"/>
    <n v="962.73112000000003"/>
    <n v="1748.92266"/>
    <n v="0"/>
    <n v="1434.7048789102028"/>
    <n v="1584.1531718199383"/>
  </r>
  <r>
    <s v="Regular"/>
    <x v="0"/>
    <x v="1"/>
    <x v="1"/>
    <x v="1"/>
    <x v="0"/>
    <x v="0"/>
    <x v="0"/>
    <x v="7"/>
    <n v="0"/>
    <n v="0"/>
    <n v="2329.02"/>
    <n v="2329.02"/>
    <n v="2329.02"/>
    <n v="2329.02"/>
    <n v="0"/>
    <x v="0"/>
    <n v="0"/>
    <n v="0"/>
    <n v="10"/>
    <n v="40"/>
    <n v="0"/>
    <n v="66.040000000000006"/>
    <n v="119.97"/>
    <m/>
    <n v="98.415755172877127"/>
    <n v="108.66738728357376"/>
    <n v="0"/>
    <n v="153808.48080000002"/>
    <n v="279412.5294"/>
    <n v="0"/>
    <n v="229212.26211273429"/>
    <n v="253088.51833118897"/>
  </r>
  <r>
    <s v="Refaturamento - Regular"/>
    <x v="0"/>
    <x v="1"/>
    <x v="1"/>
    <x v="1"/>
    <x v="0"/>
    <x v="0"/>
    <x v="0"/>
    <x v="7"/>
    <n v="0"/>
    <n v="0"/>
    <n v="2.8639999999999999"/>
    <n v="2.8639999999999999"/>
    <n v="2.8639999999999999"/>
    <n v="2.8639999999999999"/>
    <n v="0"/>
    <x v="0"/>
    <n v="0"/>
    <n v="0"/>
    <n v="10"/>
    <n v="40"/>
    <n v="0"/>
    <n v="66.040000000000006"/>
    <n v="119.97"/>
    <m/>
    <n v="98.415755172877127"/>
    <n v="108.66738728357376"/>
    <n v="0"/>
    <n v="189.13856000000001"/>
    <n v="343.59407999999996"/>
    <n v="0"/>
    <n v="281.86272281512009"/>
    <n v="311.22339718015525"/>
  </r>
  <r>
    <s v="Sistema de Compensação"/>
    <x v="0"/>
    <x v="1"/>
    <x v="1"/>
    <x v="1"/>
    <x v="0"/>
    <x v="0"/>
    <x v="0"/>
    <x v="7"/>
    <n v="0"/>
    <n v="0"/>
    <n v="15.51"/>
    <n v="15.51"/>
    <n v="15.51"/>
    <n v="15.51"/>
    <n v="0"/>
    <x v="0"/>
    <n v="0"/>
    <n v="0"/>
    <n v="10"/>
    <n v="40"/>
    <n v="0"/>
    <n v="66.040000000000006"/>
    <n v="119.97"/>
    <m/>
    <n v="98.415755172877127"/>
    <n v="108.66738728357376"/>
    <n v="0"/>
    <n v="1024.2804000000001"/>
    <n v="1860.7347"/>
    <n v="0"/>
    <n v="1526.4283627313241"/>
    <n v="1685.4311767682291"/>
  </r>
  <r>
    <s v="Regular"/>
    <x v="0"/>
    <x v="1"/>
    <x v="1"/>
    <x v="1"/>
    <x v="0"/>
    <x v="0"/>
    <x v="0"/>
    <x v="8"/>
    <n v="0"/>
    <n v="0"/>
    <n v="2469.2080000000001"/>
    <n v="2469.2080000000001"/>
    <n v="2469.2080000000001"/>
    <n v="2469.2080000000001"/>
    <n v="0"/>
    <x v="0"/>
    <n v="0"/>
    <n v="0"/>
    <n v="10"/>
    <n v="40"/>
    <n v="0"/>
    <n v="66.040000000000006"/>
    <n v="119.97"/>
    <m/>
    <n v="98.415755172877127"/>
    <n v="108.66738728357376"/>
    <n v="0"/>
    <n v="163066.49632000003"/>
    <n v="296230.88376"/>
    <n v="0"/>
    <n v="243008.9699989096"/>
    <n v="268322.38201969862"/>
  </r>
  <r>
    <s v="Sistema de Compensação"/>
    <x v="0"/>
    <x v="1"/>
    <x v="1"/>
    <x v="1"/>
    <x v="0"/>
    <x v="0"/>
    <x v="0"/>
    <x v="8"/>
    <n v="0"/>
    <n v="0"/>
    <n v="17.451000000000001"/>
    <n v="17.451000000000001"/>
    <n v="17.451000000000001"/>
    <n v="17.451000000000001"/>
    <n v="0"/>
    <x v="0"/>
    <n v="0"/>
    <n v="0"/>
    <n v="10"/>
    <n v="40"/>
    <n v="0"/>
    <n v="66.040000000000006"/>
    <n v="119.97"/>
    <m/>
    <n v="98.415755172877127"/>
    <n v="108.66738728357376"/>
    <n v="0"/>
    <n v="1152.4640400000001"/>
    <n v="2093.59647"/>
    <n v="0"/>
    <n v="1717.4533435218789"/>
    <n v="1896.3545754856457"/>
  </r>
  <r>
    <s v="Regular"/>
    <x v="0"/>
    <x v="1"/>
    <x v="1"/>
    <x v="1"/>
    <x v="0"/>
    <x v="0"/>
    <x v="0"/>
    <x v="9"/>
    <n v="0"/>
    <n v="0"/>
    <n v="2419.5059999999999"/>
    <n v="2419.5059999999999"/>
    <n v="2419.5059999999999"/>
    <n v="2419.5059999999999"/>
    <n v="0"/>
    <x v="0"/>
    <n v="0"/>
    <n v="0"/>
    <n v="10"/>
    <n v="40"/>
    <n v="0"/>
    <n v="66.040000000000006"/>
    <n v="119.97"/>
    <m/>
    <n v="98.415755172877127"/>
    <n v="108.66738728357376"/>
    <n v="0"/>
    <n v="159784.17624"/>
    <n v="290268.13481999998"/>
    <n v="0"/>
    <n v="238117.51013530724"/>
    <n v="262921.39553693042"/>
  </r>
  <r>
    <s v="Sistema de Compensação"/>
    <x v="0"/>
    <x v="1"/>
    <x v="1"/>
    <x v="1"/>
    <x v="0"/>
    <x v="0"/>
    <x v="0"/>
    <x v="9"/>
    <n v="0"/>
    <n v="0"/>
    <n v="18.134"/>
    <n v="18.134"/>
    <n v="18.134"/>
    <n v="18.134"/>
    <n v="0"/>
    <x v="0"/>
    <n v="0"/>
    <n v="0"/>
    <n v="10"/>
    <n v="40"/>
    <n v="0"/>
    <n v="66.040000000000006"/>
    <n v="119.97"/>
    <m/>
    <n v="98.415755172877127"/>
    <n v="108.66738728357376"/>
    <n v="0"/>
    <n v="1197.5693600000002"/>
    <n v="2175.5359800000001"/>
    <n v="0"/>
    <n v="1784.6713043049538"/>
    <n v="1970.5744010003266"/>
  </r>
  <r>
    <s v="Regular"/>
    <x v="0"/>
    <x v="1"/>
    <x v="1"/>
    <x v="1"/>
    <x v="0"/>
    <x v="0"/>
    <x v="0"/>
    <x v="10"/>
    <n v="0"/>
    <n v="0"/>
    <n v="2235.3539999999998"/>
    <n v="2235.3539999999998"/>
    <n v="2235.3539999999998"/>
    <n v="2235.3539999999998"/>
    <n v="0"/>
    <x v="0"/>
    <n v="0"/>
    <n v="0"/>
    <n v="10"/>
    <n v="40"/>
    <n v="0"/>
    <n v="66.040000000000006"/>
    <n v="119.97"/>
    <m/>
    <n v="98.415755172877127"/>
    <n v="108.66738728357376"/>
    <n v="0"/>
    <n v="147622.77816000002"/>
    <n v="268175.41937999998"/>
    <n v="0"/>
    <n v="219994.05198871155"/>
    <n v="242910.07883388572"/>
  </r>
  <r>
    <s v="Sistema de Compensação"/>
    <x v="0"/>
    <x v="1"/>
    <x v="1"/>
    <x v="1"/>
    <x v="0"/>
    <x v="0"/>
    <x v="0"/>
    <x v="10"/>
    <n v="0"/>
    <n v="0"/>
    <n v="15.888999999999999"/>
    <n v="15.888999999999999"/>
    <n v="15.888999999999999"/>
    <n v="15.888999999999999"/>
    <n v="0"/>
    <x v="0"/>
    <n v="0"/>
    <n v="0"/>
    <n v="10"/>
    <n v="40"/>
    <n v="0"/>
    <n v="66.040000000000006"/>
    <n v="119.97"/>
    <m/>
    <n v="98.415755172877127"/>
    <n v="108.66738728357376"/>
    <n v="0"/>
    <n v="1049.3095600000001"/>
    <n v="1906.2033299999998"/>
    <n v="0"/>
    <n v="1563.7279339418446"/>
    <n v="1726.6161165487033"/>
  </r>
  <r>
    <s v="PROJETADO"/>
    <x v="0"/>
    <x v="1"/>
    <x v="1"/>
    <x v="1"/>
    <x v="0"/>
    <x v="0"/>
    <x v="0"/>
    <x v="11"/>
    <n v="0"/>
    <n v="0"/>
    <n v="2235.3539999999998"/>
    <n v="2235.3539999999998"/>
    <n v="2235.3539999999998"/>
    <n v="2235.3539999999998"/>
    <n v="0"/>
    <x v="0"/>
    <n v="0"/>
    <n v="0"/>
    <n v="10"/>
    <n v="40"/>
    <n v="0"/>
    <n v="66.040000000000006"/>
    <n v="119.97"/>
    <m/>
    <n v="98.415755172877127"/>
    <n v="108.66738728357376"/>
    <n v="0"/>
    <n v="147622.77816000002"/>
    <n v="268175.41937999998"/>
    <n v="0"/>
    <n v="219994.05198871155"/>
    <n v="242910.07883388572"/>
  </r>
  <r>
    <s v="PROJETADO"/>
    <x v="0"/>
    <x v="1"/>
    <x v="1"/>
    <x v="1"/>
    <x v="0"/>
    <x v="0"/>
    <x v="0"/>
    <x v="11"/>
    <n v="0"/>
    <n v="0"/>
    <n v="15.888999999999999"/>
    <n v="15.888999999999999"/>
    <n v="15.888999999999999"/>
    <n v="15.888999999999999"/>
    <n v="0"/>
    <x v="0"/>
    <n v="0"/>
    <n v="0"/>
    <n v="10"/>
    <n v="40"/>
    <n v="0"/>
    <n v="66.040000000000006"/>
    <n v="119.97"/>
    <m/>
    <n v="98.415755172877127"/>
    <n v="108.66738728357376"/>
    <n v="0"/>
    <n v="1049.3095600000001"/>
    <n v="1906.2033299999998"/>
    <n v="0"/>
    <n v="1563.7279339418446"/>
    <n v="1726.6161165487033"/>
  </r>
  <r>
    <s v="Regular"/>
    <x v="0"/>
    <x v="1"/>
    <x v="1"/>
    <x v="1"/>
    <x v="0"/>
    <x v="0"/>
    <x v="2"/>
    <x v="0"/>
    <n v="10772"/>
    <n v="10772"/>
    <n v="0"/>
    <n v="0"/>
    <n v="0"/>
    <n v="0"/>
    <n v="26"/>
    <x v="0"/>
    <n v="0"/>
    <n v="27"/>
    <n v="0"/>
    <n v="0"/>
    <n v="41.15"/>
    <n v="0"/>
    <n v="0"/>
    <n v="40.015880356222226"/>
    <m/>
    <m/>
    <n v="443267.8"/>
    <n v="0"/>
    <n v="0"/>
    <n v="431051.0631972258"/>
    <n v="0"/>
    <n v="0"/>
  </r>
  <r>
    <s v="Regular"/>
    <x v="0"/>
    <x v="1"/>
    <x v="1"/>
    <x v="1"/>
    <x v="0"/>
    <x v="0"/>
    <x v="2"/>
    <x v="1"/>
    <n v="10867"/>
    <n v="10867"/>
    <n v="0"/>
    <n v="0"/>
    <n v="0"/>
    <n v="0"/>
    <n v="26"/>
    <x v="0"/>
    <n v="0"/>
    <n v="27"/>
    <n v="0"/>
    <n v="0"/>
    <n v="41.15"/>
    <n v="0"/>
    <n v="0"/>
    <n v="40.015880356222226"/>
    <m/>
    <m/>
    <n v="447177.05"/>
    <n v="0"/>
    <n v="0"/>
    <n v="434852.57183106692"/>
    <n v="0"/>
    <n v="0"/>
  </r>
  <r>
    <s v="Regular"/>
    <x v="0"/>
    <x v="1"/>
    <x v="1"/>
    <x v="1"/>
    <x v="0"/>
    <x v="0"/>
    <x v="2"/>
    <x v="2"/>
    <n v="10919"/>
    <n v="10919"/>
    <n v="0"/>
    <n v="0"/>
    <n v="0"/>
    <n v="0"/>
    <n v="26"/>
    <x v="0"/>
    <n v="0"/>
    <n v="27"/>
    <n v="0"/>
    <n v="0"/>
    <n v="41.15"/>
    <n v="0"/>
    <n v="0"/>
    <n v="40.015880356222226"/>
    <m/>
    <m/>
    <n v="449316.85"/>
    <n v="0"/>
    <n v="0"/>
    <n v="436933.39760959049"/>
    <n v="0"/>
    <n v="0"/>
  </r>
  <r>
    <s v="Regular"/>
    <x v="0"/>
    <x v="1"/>
    <x v="1"/>
    <x v="1"/>
    <x v="0"/>
    <x v="0"/>
    <x v="2"/>
    <x v="3"/>
    <n v="10745"/>
    <n v="10745"/>
    <n v="0"/>
    <n v="0"/>
    <n v="0"/>
    <n v="0"/>
    <n v="26"/>
    <x v="0"/>
    <n v="0"/>
    <n v="27"/>
    <n v="0"/>
    <n v="0"/>
    <n v="41.15"/>
    <n v="0"/>
    <n v="0"/>
    <n v="40.015880356222226"/>
    <m/>
    <m/>
    <n v="442156.75"/>
    <n v="0"/>
    <n v="0"/>
    <n v="429970.63442760782"/>
    <n v="0"/>
    <n v="0"/>
  </r>
  <r>
    <s v="Refaturamento - Regular"/>
    <x v="0"/>
    <x v="1"/>
    <x v="1"/>
    <x v="1"/>
    <x v="0"/>
    <x v="0"/>
    <x v="2"/>
    <x v="3"/>
    <n v="-25"/>
    <n v="-25"/>
    <n v="0"/>
    <n v="0"/>
    <n v="0"/>
    <n v="0"/>
    <n v="0"/>
    <x v="0"/>
    <n v="0"/>
    <n v="27"/>
    <n v="0"/>
    <n v="0"/>
    <n v="41.15"/>
    <n v="0"/>
    <n v="0"/>
    <n v="40.015880356222226"/>
    <m/>
    <m/>
    <n v="-1028.75"/>
    <n v="0"/>
    <n v="0"/>
    <n v="-1000.3970089055556"/>
    <n v="0"/>
    <n v="0"/>
  </r>
  <r>
    <s v="Sistema de Compensação"/>
    <x v="0"/>
    <x v="1"/>
    <x v="1"/>
    <x v="1"/>
    <x v="0"/>
    <x v="0"/>
    <x v="2"/>
    <x v="3"/>
    <n v="60"/>
    <n v="60"/>
    <n v="0"/>
    <n v="0"/>
    <n v="0"/>
    <n v="0"/>
    <n v="1"/>
    <x v="0"/>
    <n v="0"/>
    <n v="27"/>
    <n v="0"/>
    <n v="0"/>
    <n v="41.15"/>
    <n v="0"/>
    <n v="0"/>
    <n v="40.015880356222226"/>
    <m/>
    <m/>
    <n v="2469"/>
    <n v="0"/>
    <n v="0"/>
    <n v="2400.9528213733338"/>
    <n v="0"/>
    <n v="0"/>
  </r>
  <r>
    <s v="Regular"/>
    <x v="0"/>
    <x v="1"/>
    <x v="1"/>
    <x v="1"/>
    <x v="0"/>
    <x v="0"/>
    <x v="2"/>
    <x v="4"/>
    <n v="10438"/>
    <n v="10438"/>
    <n v="0"/>
    <n v="0"/>
    <n v="0"/>
    <n v="0"/>
    <n v="26"/>
    <x v="0"/>
    <n v="0"/>
    <n v="27"/>
    <n v="0"/>
    <n v="0"/>
    <n v="41.15"/>
    <n v="0"/>
    <n v="0"/>
    <n v="40.015880356222226"/>
    <m/>
    <m/>
    <n v="429523.7"/>
    <n v="0"/>
    <n v="0"/>
    <n v="417685.75915824762"/>
    <n v="0"/>
    <n v="0"/>
  </r>
  <r>
    <s v="Sistema de Compensação"/>
    <x v="0"/>
    <x v="1"/>
    <x v="1"/>
    <x v="1"/>
    <x v="0"/>
    <x v="0"/>
    <x v="2"/>
    <x v="4"/>
    <n v="57"/>
    <n v="57"/>
    <n v="0"/>
    <n v="0"/>
    <n v="0"/>
    <n v="0"/>
    <n v="1"/>
    <x v="0"/>
    <n v="0"/>
    <n v="27"/>
    <n v="0"/>
    <n v="0"/>
    <n v="41.15"/>
    <n v="0"/>
    <n v="0"/>
    <n v="40.015880356222226"/>
    <m/>
    <m/>
    <n v="2345.5499999999997"/>
    <n v="0"/>
    <n v="0"/>
    <n v="2280.9051803046668"/>
    <n v="0"/>
    <n v="0"/>
  </r>
  <r>
    <s v="Regular"/>
    <x v="0"/>
    <x v="1"/>
    <x v="1"/>
    <x v="1"/>
    <x v="0"/>
    <x v="0"/>
    <x v="2"/>
    <x v="5"/>
    <n v="10722"/>
    <n v="10722"/>
    <n v="0"/>
    <n v="0"/>
    <n v="0"/>
    <n v="0"/>
    <n v="26"/>
    <x v="0"/>
    <n v="0"/>
    <n v="27"/>
    <n v="0"/>
    <n v="0"/>
    <n v="41.15"/>
    <n v="0"/>
    <n v="0"/>
    <n v="40.015880356222226"/>
    <m/>
    <m/>
    <n v="441210.3"/>
    <n v="0"/>
    <n v="0"/>
    <n v="429050.26917941472"/>
    <n v="0"/>
    <n v="0"/>
  </r>
  <r>
    <s v="Sistema de Compensação"/>
    <x v="0"/>
    <x v="1"/>
    <x v="1"/>
    <x v="1"/>
    <x v="0"/>
    <x v="0"/>
    <x v="2"/>
    <x v="5"/>
    <n v="100"/>
    <n v="100"/>
    <n v="0"/>
    <n v="0"/>
    <n v="0"/>
    <n v="0"/>
    <n v="1"/>
    <x v="0"/>
    <n v="0"/>
    <n v="27"/>
    <n v="0"/>
    <n v="0"/>
    <n v="41.15"/>
    <n v="0"/>
    <n v="0"/>
    <n v="40.015880356222226"/>
    <m/>
    <m/>
    <n v="4115"/>
    <n v="0"/>
    <n v="0"/>
    <n v="4001.5880356222224"/>
    <n v="0"/>
    <n v="0"/>
  </r>
  <r>
    <s v="Regular"/>
    <x v="0"/>
    <x v="1"/>
    <x v="1"/>
    <x v="1"/>
    <x v="0"/>
    <x v="0"/>
    <x v="2"/>
    <x v="6"/>
    <n v="10545"/>
    <n v="10545"/>
    <n v="0"/>
    <n v="0"/>
    <n v="0"/>
    <n v="0"/>
    <n v="26"/>
    <x v="0"/>
    <n v="0"/>
    <n v="27"/>
    <n v="0"/>
    <n v="0"/>
    <n v="41.15"/>
    <n v="0"/>
    <n v="0"/>
    <n v="40.015880356222226"/>
    <m/>
    <m/>
    <n v="433926.75"/>
    <n v="0"/>
    <n v="0"/>
    <n v="421967.45835636335"/>
    <n v="0"/>
    <n v="0"/>
  </r>
  <r>
    <s v="Sistema de Compensação"/>
    <x v="0"/>
    <x v="1"/>
    <x v="1"/>
    <x v="1"/>
    <x v="0"/>
    <x v="0"/>
    <x v="2"/>
    <x v="6"/>
    <n v="100"/>
    <n v="100"/>
    <n v="0"/>
    <n v="0"/>
    <n v="0"/>
    <n v="0"/>
    <n v="1"/>
    <x v="0"/>
    <n v="0"/>
    <n v="27"/>
    <n v="0"/>
    <n v="0"/>
    <n v="41.15"/>
    <n v="0"/>
    <n v="0"/>
    <n v="40.015880356222226"/>
    <m/>
    <m/>
    <n v="4115"/>
    <n v="0"/>
    <n v="0"/>
    <n v="4001.5880356222224"/>
    <n v="0"/>
    <n v="0"/>
  </r>
  <r>
    <s v="Regular"/>
    <x v="0"/>
    <x v="1"/>
    <x v="1"/>
    <x v="1"/>
    <x v="0"/>
    <x v="0"/>
    <x v="2"/>
    <x v="7"/>
    <n v="10849"/>
    <n v="10849"/>
    <n v="0"/>
    <n v="0"/>
    <n v="0"/>
    <n v="0"/>
    <n v="26"/>
    <x v="0"/>
    <n v="0"/>
    <n v="27"/>
    <n v="0"/>
    <n v="0"/>
    <n v="41.15"/>
    <n v="0"/>
    <n v="0"/>
    <n v="40.015880356222226"/>
    <m/>
    <m/>
    <n v="446436.35"/>
    <n v="0"/>
    <n v="0"/>
    <n v="434132.28598465491"/>
    <n v="0"/>
    <n v="0"/>
  </r>
  <r>
    <s v="Sistema de Compensação"/>
    <x v="0"/>
    <x v="1"/>
    <x v="1"/>
    <x v="1"/>
    <x v="0"/>
    <x v="0"/>
    <x v="2"/>
    <x v="7"/>
    <n v="100"/>
    <n v="100"/>
    <n v="0"/>
    <n v="0"/>
    <n v="0"/>
    <n v="0"/>
    <n v="1"/>
    <x v="0"/>
    <n v="0"/>
    <n v="27"/>
    <n v="0"/>
    <n v="0"/>
    <n v="41.15"/>
    <n v="0"/>
    <n v="0"/>
    <n v="40.015880356222226"/>
    <m/>
    <m/>
    <n v="4115"/>
    <n v="0"/>
    <n v="0"/>
    <n v="4001.5880356222224"/>
    <n v="0"/>
    <n v="0"/>
  </r>
  <r>
    <s v="Regular"/>
    <x v="0"/>
    <x v="1"/>
    <x v="1"/>
    <x v="1"/>
    <x v="0"/>
    <x v="0"/>
    <x v="2"/>
    <x v="8"/>
    <n v="10370"/>
    <n v="10370"/>
    <n v="0"/>
    <n v="0"/>
    <n v="0"/>
    <n v="0"/>
    <n v="26"/>
    <x v="0"/>
    <n v="0"/>
    <n v="27"/>
    <n v="0"/>
    <n v="0"/>
    <n v="41.15"/>
    <n v="0"/>
    <n v="0"/>
    <n v="40.015880356222226"/>
    <m/>
    <m/>
    <n v="426725.5"/>
    <n v="0"/>
    <n v="0"/>
    <n v="414964.67929402448"/>
    <n v="0"/>
    <n v="0"/>
  </r>
  <r>
    <s v="Sistema de Compensação"/>
    <x v="0"/>
    <x v="1"/>
    <x v="1"/>
    <x v="1"/>
    <x v="0"/>
    <x v="0"/>
    <x v="2"/>
    <x v="8"/>
    <n v="80"/>
    <n v="80"/>
    <n v="0"/>
    <n v="0"/>
    <n v="0"/>
    <n v="0"/>
    <n v="1"/>
    <x v="0"/>
    <n v="0"/>
    <n v="27"/>
    <n v="0"/>
    <n v="0"/>
    <n v="41.15"/>
    <n v="0"/>
    <n v="0"/>
    <n v="40.015880356222226"/>
    <m/>
    <m/>
    <n v="3292"/>
    <n v="0"/>
    <n v="0"/>
    <n v="3201.2704284977781"/>
    <n v="0"/>
    <n v="0"/>
  </r>
  <r>
    <s v="Regular"/>
    <x v="0"/>
    <x v="1"/>
    <x v="1"/>
    <x v="1"/>
    <x v="0"/>
    <x v="0"/>
    <x v="2"/>
    <x v="9"/>
    <n v="10447"/>
    <n v="10447"/>
    <n v="0"/>
    <n v="0"/>
    <n v="0"/>
    <n v="0"/>
    <n v="26"/>
    <x v="0"/>
    <n v="0"/>
    <n v="27"/>
    <n v="0"/>
    <n v="0"/>
    <n v="41.15"/>
    <n v="0"/>
    <n v="0"/>
    <n v="40.015880356222226"/>
    <m/>
    <m/>
    <n v="429894.05"/>
    <n v="0"/>
    <n v="0"/>
    <n v="418045.90208145359"/>
    <n v="0"/>
    <n v="0"/>
  </r>
  <r>
    <s v="Sistema de Compensação"/>
    <x v="0"/>
    <x v="1"/>
    <x v="1"/>
    <x v="1"/>
    <x v="0"/>
    <x v="0"/>
    <x v="2"/>
    <x v="9"/>
    <n v="90"/>
    <n v="90"/>
    <n v="0"/>
    <n v="0"/>
    <n v="0"/>
    <n v="0"/>
    <n v="1"/>
    <x v="0"/>
    <n v="0"/>
    <n v="27"/>
    <n v="0"/>
    <n v="0"/>
    <n v="41.15"/>
    <n v="0"/>
    <n v="0"/>
    <n v="40.015880356222226"/>
    <m/>
    <m/>
    <n v="3703.5"/>
    <n v="0"/>
    <n v="0"/>
    <n v="3601.4292320600002"/>
    <n v="0"/>
    <n v="0"/>
  </r>
  <r>
    <s v="Regular"/>
    <x v="0"/>
    <x v="1"/>
    <x v="1"/>
    <x v="1"/>
    <x v="0"/>
    <x v="0"/>
    <x v="2"/>
    <x v="10"/>
    <n v="10435"/>
    <n v="10435"/>
    <n v="0"/>
    <n v="0"/>
    <n v="0"/>
    <n v="0"/>
    <n v="26"/>
    <x v="0"/>
    <n v="0"/>
    <n v="27"/>
    <n v="0"/>
    <n v="0"/>
    <n v="41.15"/>
    <n v="0"/>
    <n v="0"/>
    <n v="40.015880356222226"/>
    <m/>
    <m/>
    <n v="429400.25"/>
    <n v="0"/>
    <n v="0"/>
    <n v="417565.71151717892"/>
    <n v="0"/>
    <n v="0"/>
  </r>
  <r>
    <s v="Sistema de Compensação"/>
    <x v="0"/>
    <x v="1"/>
    <x v="1"/>
    <x v="1"/>
    <x v="0"/>
    <x v="0"/>
    <x v="2"/>
    <x v="10"/>
    <n v="74"/>
    <n v="74"/>
    <n v="0"/>
    <n v="0"/>
    <n v="0"/>
    <n v="0"/>
    <n v="1"/>
    <x v="0"/>
    <n v="0"/>
    <n v="27"/>
    <n v="0"/>
    <n v="0"/>
    <n v="41.15"/>
    <n v="0"/>
    <n v="0"/>
    <n v="40.015880356222226"/>
    <m/>
    <m/>
    <n v="3045.1"/>
    <n v="0"/>
    <n v="0"/>
    <n v="2961.1751463604446"/>
    <n v="0"/>
    <n v="0"/>
  </r>
  <r>
    <s v="PROJETADO"/>
    <x v="0"/>
    <x v="1"/>
    <x v="1"/>
    <x v="1"/>
    <x v="0"/>
    <x v="0"/>
    <x v="2"/>
    <x v="11"/>
    <n v="10435"/>
    <n v="10435"/>
    <n v="0"/>
    <n v="0"/>
    <n v="0"/>
    <n v="0"/>
    <n v="26"/>
    <x v="0"/>
    <n v="0"/>
    <n v="27"/>
    <n v="0"/>
    <n v="0"/>
    <n v="41.15"/>
    <n v="0"/>
    <n v="0"/>
    <n v="40.015880356222226"/>
    <m/>
    <m/>
    <n v="429400.25"/>
    <n v="0"/>
    <n v="0"/>
    <n v="417565.71151717892"/>
    <n v="0"/>
    <n v="0"/>
  </r>
  <r>
    <s v="PROJETADO"/>
    <x v="0"/>
    <x v="1"/>
    <x v="1"/>
    <x v="1"/>
    <x v="0"/>
    <x v="0"/>
    <x v="2"/>
    <x v="11"/>
    <n v="74"/>
    <n v="74"/>
    <n v="0"/>
    <n v="0"/>
    <n v="0"/>
    <n v="0"/>
    <n v="1"/>
    <x v="0"/>
    <n v="0"/>
    <n v="27"/>
    <n v="0"/>
    <n v="0"/>
    <n v="41.15"/>
    <n v="0"/>
    <n v="0"/>
    <n v="40.015880356222226"/>
    <m/>
    <m/>
    <n v="3045.1"/>
    <n v="0"/>
    <n v="0"/>
    <n v="2961.1751463604446"/>
    <n v="0"/>
    <n v="0"/>
  </r>
  <r>
    <s v="Regular"/>
    <x v="0"/>
    <x v="1"/>
    <x v="1"/>
    <x v="1"/>
    <x v="0"/>
    <x v="0"/>
    <x v="1"/>
    <x v="0"/>
    <n v="0"/>
    <n v="0"/>
    <n v="102.54600000000001"/>
    <n v="102.54600000000001"/>
    <n v="102.54600000000001"/>
    <n v="102.54600000000001"/>
    <n v="0"/>
    <x v="0"/>
    <n v="0"/>
    <n v="0"/>
    <n v="32"/>
    <n v="34"/>
    <n v="0"/>
    <n v="2859.84"/>
    <n v="119.97"/>
    <m/>
    <n v="2742.094396913973"/>
    <n v="108.66738728357376"/>
    <n v="0"/>
    <n v="293265.15264000004"/>
    <n v="12302.44362"/>
    <n v="0"/>
    <n v="281190.81202594028"/>
    <n v="11143.405896381355"/>
  </r>
  <r>
    <s v="Regular"/>
    <x v="0"/>
    <x v="1"/>
    <x v="1"/>
    <x v="1"/>
    <x v="0"/>
    <x v="0"/>
    <x v="1"/>
    <x v="1"/>
    <n v="0"/>
    <n v="0"/>
    <n v="89.47"/>
    <n v="89.47"/>
    <n v="89.47"/>
    <n v="89.47"/>
    <n v="0"/>
    <x v="0"/>
    <n v="0"/>
    <n v="0"/>
    <n v="32"/>
    <n v="34"/>
    <n v="0"/>
    <n v="2859.84"/>
    <n v="119.97"/>
    <m/>
    <n v="2742.094396913973"/>
    <n v="108.66738728357376"/>
    <n v="0"/>
    <n v="255869.8848"/>
    <n v="10733.715899999999"/>
    <n v="0"/>
    <n v="245335.18569189316"/>
    <n v="9722.4711402613448"/>
  </r>
  <r>
    <s v="Regular"/>
    <x v="0"/>
    <x v="1"/>
    <x v="1"/>
    <x v="1"/>
    <x v="0"/>
    <x v="0"/>
    <x v="1"/>
    <x v="2"/>
    <n v="0"/>
    <n v="0"/>
    <n v="90.867000000000004"/>
    <n v="90.867000000000004"/>
    <n v="90.867000000000004"/>
    <n v="90.867000000000004"/>
    <n v="0"/>
    <x v="0"/>
    <n v="0"/>
    <n v="0"/>
    <n v="32"/>
    <n v="34"/>
    <n v="0"/>
    <n v="2859.84"/>
    <n v="119.97"/>
    <m/>
    <n v="2742.094396913973"/>
    <n v="108.66738728357376"/>
    <n v="0"/>
    <n v="259865.08128000001"/>
    <n v="10901.313990000001"/>
    <n v="0"/>
    <n v="249165.89156438201"/>
    <n v="9874.2794802964981"/>
  </r>
  <r>
    <s v="Regular"/>
    <x v="0"/>
    <x v="1"/>
    <x v="1"/>
    <x v="1"/>
    <x v="0"/>
    <x v="0"/>
    <x v="1"/>
    <x v="3"/>
    <n v="0"/>
    <n v="0"/>
    <n v="92.667000000000002"/>
    <n v="92.667000000000002"/>
    <n v="92.667000000000002"/>
    <n v="92.667000000000002"/>
    <n v="0"/>
    <x v="0"/>
    <n v="0"/>
    <n v="0"/>
    <n v="32"/>
    <n v="34"/>
    <n v="0"/>
    <n v="2859.84"/>
    <n v="119.97"/>
    <m/>
    <n v="2742.094396913973"/>
    <n v="108.66738728357376"/>
    <n v="0"/>
    <n v="265012.79328000004"/>
    <n v="11117.25999"/>
    <n v="0"/>
    <n v="254101.66147882715"/>
    <n v="10069.88077740693"/>
  </r>
  <r>
    <s v="Sistema de Compensação"/>
    <x v="0"/>
    <x v="1"/>
    <x v="1"/>
    <x v="1"/>
    <x v="0"/>
    <x v="0"/>
    <x v="1"/>
    <x v="3"/>
    <n v="0"/>
    <n v="0"/>
    <n v="1.762"/>
    <n v="1.762"/>
    <n v="1.762"/>
    <n v="1.762"/>
    <n v="0"/>
    <x v="0"/>
    <n v="0"/>
    <n v="0"/>
    <n v="32"/>
    <n v="34"/>
    <n v="0"/>
    <n v="2859.84"/>
    <n v="119.97"/>
    <m/>
    <n v="2742.094396913973"/>
    <n v="108.66738728357376"/>
    <n v="0"/>
    <n v="5039.0380800000003"/>
    <n v="211.38713999999999"/>
    <n v="0"/>
    <n v="4831.5703273624204"/>
    <n v="191.47193639365696"/>
  </r>
  <r>
    <s v="Regular"/>
    <x v="0"/>
    <x v="1"/>
    <x v="1"/>
    <x v="1"/>
    <x v="0"/>
    <x v="0"/>
    <x v="1"/>
    <x v="4"/>
    <n v="0"/>
    <n v="0"/>
    <n v="91.927000000000007"/>
    <n v="91.927000000000007"/>
    <n v="91.927000000000007"/>
    <n v="91.927000000000007"/>
    <n v="0"/>
    <x v="0"/>
    <n v="0"/>
    <n v="0"/>
    <n v="32"/>
    <n v="34"/>
    <n v="0"/>
    <n v="2859.84"/>
    <n v="119.97"/>
    <m/>
    <n v="2742.094396913973"/>
    <n v="108.66738728357376"/>
    <n v="0"/>
    <n v="262896.51168000005"/>
    <n v="11028.482190000001"/>
    <n v="0"/>
    <n v="252072.51162511081"/>
    <n v="9989.4669108170856"/>
  </r>
  <r>
    <s v="Sistema de Compensação"/>
    <x v="0"/>
    <x v="1"/>
    <x v="1"/>
    <x v="1"/>
    <x v="0"/>
    <x v="0"/>
    <x v="1"/>
    <x v="4"/>
    <n v="0"/>
    <n v="0"/>
    <n v="2.1549999999999998"/>
    <n v="2.1549999999999998"/>
    <n v="2.1549999999999998"/>
    <n v="2.1549999999999998"/>
    <n v="0"/>
    <x v="0"/>
    <n v="0"/>
    <n v="0"/>
    <n v="32"/>
    <n v="34"/>
    <n v="0"/>
    <n v="2859.84"/>
    <n v="119.97"/>
    <m/>
    <n v="2742.094396913973"/>
    <n v="108.66738728357376"/>
    <n v="0"/>
    <n v="6162.9551999999994"/>
    <n v="258.53534999999999"/>
    <n v="0"/>
    <n v="5909.2134253496115"/>
    <n v="234.17821959610143"/>
  </r>
  <r>
    <s v="Regular"/>
    <x v="0"/>
    <x v="1"/>
    <x v="1"/>
    <x v="1"/>
    <x v="0"/>
    <x v="0"/>
    <x v="1"/>
    <x v="5"/>
    <n v="0"/>
    <n v="0"/>
    <n v="93.611999999999995"/>
    <n v="93.611999999999995"/>
    <n v="93.611999999999995"/>
    <n v="93.611999999999995"/>
    <n v="0"/>
    <x v="0"/>
    <n v="0"/>
    <n v="0"/>
    <n v="32"/>
    <n v="34"/>
    <n v="0"/>
    <n v="2859.84"/>
    <n v="119.97"/>
    <m/>
    <n v="2742.094396913973"/>
    <n v="108.66738728357376"/>
    <n v="0"/>
    <n v="267715.34207999997"/>
    <n v="11230.63164"/>
    <n v="0"/>
    <n v="256692.94068391083"/>
    <n v="10172.571458389906"/>
  </r>
  <r>
    <s v="Sistema de Compensação"/>
    <x v="0"/>
    <x v="1"/>
    <x v="1"/>
    <x v="1"/>
    <x v="0"/>
    <x v="0"/>
    <x v="1"/>
    <x v="5"/>
    <n v="0"/>
    <n v="0"/>
    <n v="2.6560000000000001"/>
    <n v="2.6560000000000001"/>
    <n v="2.6560000000000001"/>
    <n v="2.6560000000000001"/>
    <n v="0"/>
    <x v="0"/>
    <n v="0"/>
    <n v="0"/>
    <n v="32"/>
    <n v="34"/>
    <n v="0"/>
    <n v="2859.84"/>
    <n v="119.97"/>
    <m/>
    <n v="2742.094396913973"/>
    <n v="108.66738728357376"/>
    <n v="0"/>
    <n v="7595.7350400000005"/>
    <n v="318.64032000000003"/>
    <n v="0"/>
    <n v="7283.0027182035128"/>
    <n v="288.6205806251719"/>
  </r>
  <r>
    <s v="Regular"/>
    <x v="0"/>
    <x v="1"/>
    <x v="1"/>
    <x v="1"/>
    <x v="0"/>
    <x v="0"/>
    <x v="1"/>
    <x v="6"/>
    <n v="0"/>
    <n v="0"/>
    <n v="117.13500000000001"/>
    <n v="117.13500000000001"/>
    <n v="117.13500000000001"/>
    <n v="117.13500000000001"/>
    <n v="0"/>
    <x v="0"/>
    <n v="0"/>
    <n v="0"/>
    <n v="32"/>
    <n v="34"/>
    <n v="0"/>
    <n v="2859.84"/>
    <n v="119.97"/>
    <m/>
    <n v="2742.094396913973"/>
    <n v="108.66738728357376"/>
    <n v="0"/>
    <n v="334987.35840000003"/>
    <n v="14052.685950000001"/>
    <n v="0"/>
    <n v="321195.22718251823"/>
    <n v="12728.754409461413"/>
  </r>
  <r>
    <s v="Sistema de Compensação"/>
    <x v="0"/>
    <x v="1"/>
    <x v="1"/>
    <x v="1"/>
    <x v="0"/>
    <x v="0"/>
    <x v="1"/>
    <x v="6"/>
    <n v="0"/>
    <n v="0"/>
    <n v="2.831"/>
    <n v="2.831"/>
    <n v="2.831"/>
    <n v="2.831"/>
    <n v="0"/>
    <x v="0"/>
    <n v="0"/>
    <n v="0"/>
    <n v="32"/>
    <n v="34"/>
    <n v="0"/>
    <n v="2859.84"/>
    <n v="119.97"/>
    <m/>
    <n v="2742.094396913973"/>
    <n v="108.66738728357376"/>
    <n v="0"/>
    <n v="8096.2070400000002"/>
    <n v="339.63506999999998"/>
    <n v="0"/>
    <n v="7762.8692376634572"/>
    <n v="307.6373733997973"/>
  </r>
  <r>
    <s v="Regular"/>
    <x v="0"/>
    <x v="1"/>
    <x v="1"/>
    <x v="1"/>
    <x v="0"/>
    <x v="0"/>
    <x v="1"/>
    <x v="7"/>
    <n v="0"/>
    <n v="0"/>
    <n v="90.576999999999998"/>
    <n v="90.576999999999998"/>
    <n v="90.576999999999998"/>
    <n v="90.576999999999998"/>
    <n v="0"/>
    <x v="0"/>
    <n v="0"/>
    <n v="0"/>
    <n v="32"/>
    <n v="34"/>
    <n v="0"/>
    <n v="2859.84"/>
    <n v="119.97"/>
    <m/>
    <n v="2742.094396913973"/>
    <n v="108.66738728357376"/>
    <n v="0"/>
    <n v="259035.72768000001"/>
    <n v="10866.52269"/>
    <n v="0"/>
    <n v="248370.68418927692"/>
    <n v="9842.7659379842607"/>
  </r>
  <r>
    <s v="Refaturamento - Regular"/>
    <x v="0"/>
    <x v="1"/>
    <x v="1"/>
    <x v="1"/>
    <x v="0"/>
    <x v="0"/>
    <x v="1"/>
    <x v="7"/>
    <n v="0"/>
    <n v="0"/>
    <n v="-2.9020000000000001"/>
    <n v="-2.9020000000000001"/>
    <n v="-2.9020000000000001"/>
    <n v="-2.9020000000000001"/>
    <n v="0"/>
    <x v="0"/>
    <n v="0"/>
    <n v="0"/>
    <n v="32"/>
    <n v="34"/>
    <n v="0"/>
    <n v="2859.84"/>
    <n v="119.97"/>
    <m/>
    <n v="2742.094396913973"/>
    <n v="108.66738728357376"/>
    <n v="0"/>
    <n v="-8299.2556800000002"/>
    <n v="-348.15294"/>
    <n v="0"/>
    <n v="-7957.5579398443497"/>
    <n v="-315.35275789693105"/>
  </r>
  <r>
    <s v="Sistema de Compensação"/>
    <x v="0"/>
    <x v="1"/>
    <x v="1"/>
    <x v="1"/>
    <x v="0"/>
    <x v="0"/>
    <x v="1"/>
    <x v="7"/>
    <n v="0"/>
    <n v="0"/>
    <n v="2.6850000000000001"/>
    <n v="2.6850000000000001"/>
    <n v="2.6850000000000001"/>
    <n v="2.6850000000000001"/>
    <n v="0"/>
    <x v="0"/>
    <n v="0"/>
    <n v="0"/>
    <n v="32"/>
    <n v="34"/>
    <n v="0"/>
    <n v="2859.84"/>
    <n v="119.97"/>
    <m/>
    <n v="2742.094396913973"/>
    <n v="108.66738728357376"/>
    <n v="0"/>
    <n v="7678.6704000000009"/>
    <n v="322.11945000000003"/>
    <n v="0"/>
    <n v="7362.5234557140175"/>
    <n v="291.77193485639555"/>
  </r>
  <r>
    <s v="Regular"/>
    <x v="0"/>
    <x v="1"/>
    <x v="1"/>
    <x v="1"/>
    <x v="0"/>
    <x v="0"/>
    <x v="1"/>
    <x v="8"/>
    <n v="0"/>
    <n v="0"/>
    <n v="107.97199999999999"/>
    <n v="107.97199999999999"/>
    <n v="107.97199999999999"/>
    <n v="107.97199999999999"/>
    <n v="0"/>
    <x v="0"/>
    <n v="0"/>
    <n v="0"/>
    <n v="32"/>
    <n v="34"/>
    <n v="0"/>
    <n v="2859.84"/>
    <n v="119.97"/>
    <m/>
    <n v="2742.094396913973"/>
    <n v="108.66738728357376"/>
    <n v="0"/>
    <n v="308782.64448000002"/>
    <n v="12953.400839999998"/>
    <n v="0"/>
    <n v="296069.4162235955"/>
    <n v="11733.035139782025"/>
  </r>
  <r>
    <s v="Sistema de Compensação"/>
    <x v="0"/>
    <x v="1"/>
    <x v="1"/>
    <x v="1"/>
    <x v="0"/>
    <x v="0"/>
    <x v="1"/>
    <x v="8"/>
    <n v="0"/>
    <n v="0"/>
    <n v="3.383"/>
    <n v="3.383"/>
    <n v="3.383"/>
    <n v="3.383"/>
    <n v="0"/>
    <x v="0"/>
    <n v="0"/>
    <n v="0"/>
    <n v="32"/>
    <n v="34"/>
    <n v="0"/>
    <n v="2859.84"/>
    <n v="119.97"/>
    <m/>
    <n v="2742.094396913973"/>
    <n v="108.66738728357376"/>
    <n v="0"/>
    <n v="9674.8387199999997"/>
    <n v="405.85851000000002"/>
    <n v="0"/>
    <n v="9276.5053447599712"/>
    <n v="367.62177118033003"/>
  </r>
  <r>
    <s v="Regular"/>
    <x v="0"/>
    <x v="1"/>
    <x v="1"/>
    <x v="1"/>
    <x v="0"/>
    <x v="0"/>
    <x v="1"/>
    <x v="9"/>
    <n v="0"/>
    <n v="0"/>
    <n v="98.912999999999997"/>
    <n v="98.912999999999997"/>
    <n v="98.912999999999997"/>
    <n v="98.912999999999997"/>
    <n v="0"/>
    <x v="0"/>
    <n v="0"/>
    <n v="0"/>
    <n v="32"/>
    <n v="34"/>
    <n v="0"/>
    <n v="2859.84"/>
    <n v="119.97"/>
    <m/>
    <n v="2742.094396913973"/>
    <n v="108.66738728357376"/>
    <n v="0"/>
    <n v="282875.35392000002"/>
    <n v="11866.59261"/>
    <n v="0"/>
    <n v="271228.78308195178"/>
    <n v="10748.61727838013"/>
  </r>
  <r>
    <s v="Sistema de Compensação"/>
    <x v="0"/>
    <x v="1"/>
    <x v="1"/>
    <x v="1"/>
    <x v="0"/>
    <x v="0"/>
    <x v="1"/>
    <x v="9"/>
    <n v="0"/>
    <n v="0"/>
    <n v="3.0649999999999999"/>
    <n v="3.0649999999999999"/>
    <n v="3.0649999999999999"/>
    <n v="3.0649999999999999"/>
    <n v="0"/>
    <x v="0"/>
    <n v="0"/>
    <n v="0"/>
    <n v="32"/>
    <n v="34"/>
    <n v="0"/>
    <n v="2859.84"/>
    <n v="119.97"/>
    <m/>
    <n v="2742.094396913973"/>
    <n v="108.66738728357376"/>
    <n v="0"/>
    <n v="8765.4096000000009"/>
    <n v="367.70805000000001"/>
    <n v="0"/>
    <n v="8404.5193265413272"/>
    <n v="333.06554202415356"/>
  </r>
  <r>
    <s v="Regular"/>
    <x v="0"/>
    <x v="1"/>
    <x v="1"/>
    <x v="1"/>
    <x v="0"/>
    <x v="0"/>
    <x v="1"/>
    <x v="10"/>
    <n v="0"/>
    <n v="0"/>
    <n v="99.21"/>
    <n v="99.21"/>
    <n v="99.21"/>
    <n v="99.21"/>
    <n v="0"/>
    <x v="0"/>
    <n v="0"/>
    <n v="0"/>
    <n v="32"/>
    <n v="34"/>
    <n v="0"/>
    <n v="2859.84"/>
    <n v="119.97"/>
    <m/>
    <n v="2742.094396913973"/>
    <n v="108.66738728357376"/>
    <n v="0"/>
    <n v="283724.72639999999"/>
    <n v="11902.223699999999"/>
    <n v="0"/>
    <n v="272043.18511783524"/>
    <n v="10780.891492403352"/>
  </r>
  <r>
    <s v="Sistema de Compensação"/>
    <x v="0"/>
    <x v="1"/>
    <x v="1"/>
    <x v="1"/>
    <x v="0"/>
    <x v="0"/>
    <x v="1"/>
    <x v="10"/>
    <n v="0"/>
    <n v="0"/>
    <n v="2.9039999999999999"/>
    <n v="2.9039999999999999"/>
    <n v="2.9039999999999999"/>
    <n v="2.9039999999999999"/>
    <n v="0"/>
    <x v="0"/>
    <n v="0"/>
    <n v="0"/>
    <n v="32"/>
    <n v="34"/>
    <n v="0"/>
    <n v="2859.84"/>
    <n v="119.97"/>
    <m/>
    <n v="2742.094396913973"/>
    <n v="108.66738728357376"/>
    <n v="0"/>
    <n v="8304.9753600000004"/>
    <n v="348.39287999999999"/>
    <n v="0"/>
    <n v="7963.042128638177"/>
    <n v="315.57009267149817"/>
  </r>
  <r>
    <s v="PROJETADO"/>
    <x v="0"/>
    <x v="1"/>
    <x v="1"/>
    <x v="1"/>
    <x v="0"/>
    <x v="0"/>
    <x v="1"/>
    <x v="11"/>
    <n v="0"/>
    <n v="0"/>
    <n v="99.21"/>
    <n v="99.21"/>
    <n v="99.21"/>
    <n v="99.21"/>
    <n v="0"/>
    <x v="0"/>
    <n v="0"/>
    <n v="0"/>
    <n v="32"/>
    <n v="34"/>
    <n v="0"/>
    <n v="2859.84"/>
    <n v="119.97"/>
    <m/>
    <n v="2742.094396913973"/>
    <n v="108.66738728357376"/>
    <n v="0"/>
    <n v="283724.72639999999"/>
    <n v="11902.223699999999"/>
    <n v="0"/>
    <n v="272043.18511783524"/>
    <n v="10780.891492403352"/>
  </r>
  <r>
    <s v="PROJETADO"/>
    <x v="0"/>
    <x v="1"/>
    <x v="1"/>
    <x v="1"/>
    <x v="0"/>
    <x v="0"/>
    <x v="1"/>
    <x v="11"/>
    <n v="0"/>
    <n v="0"/>
    <n v="2.9039999999999999"/>
    <n v="2.9039999999999999"/>
    <n v="2.9039999999999999"/>
    <n v="2.9039999999999999"/>
    <n v="0"/>
    <x v="0"/>
    <n v="0"/>
    <n v="0"/>
    <n v="32"/>
    <n v="34"/>
    <n v="0"/>
    <n v="2859.84"/>
    <n v="119.97"/>
    <m/>
    <n v="2742.094396913973"/>
    <n v="108.66738728357376"/>
    <n v="0"/>
    <n v="8304.9753600000004"/>
    <n v="348.39287999999999"/>
    <n v="0"/>
    <n v="7963.042128638177"/>
    <n v="315.57009267149817"/>
  </r>
  <r>
    <s v="Sistema de Compensação"/>
    <x v="0"/>
    <x v="1"/>
    <x v="2"/>
    <x v="1"/>
    <x v="0"/>
    <x v="0"/>
    <x v="0"/>
    <x v="5"/>
    <n v="0"/>
    <n v="0"/>
    <n v="4.3380000000000001"/>
    <n v="4.1644800000000002"/>
    <n v="4.3380000000000001"/>
    <n v="4.1644800000000002"/>
    <n v="0"/>
    <x v="0"/>
    <n v="0"/>
    <n v="0"/>
    <n v="10"/>
    <n v="40"/>
    <n v="0"/>
    <n v="66.040000000000006"/>
    <n v="119.97"/>
    <m/>
    <n v="98.415755172877127"/>
    <n v="108.66738728357376"/>
    <n v="0"/>
    <n v="275.02225920000006"/>
    <n v="499.61266560000001"/>
    <n v="0"/>
    <n v="409.85044410234337"/>
    <n v="452.54316099469725"/>
  </r>
  <r>
    <s v="Sistema de Compensação"/>
    <x v="0"/>
    <x v="1"/>
    <x v="2"/>
    <x v="1"/>
    <x v="0"/>
    <x v="0"/>
    <x v="0"/>
    <x v="6"/>
    <n v="0"/>
    <n v="0"/>
    <n v="1.331"/>
    <n v="1.27776"/>
    <n v="1.331"/>
    <n v="1.27776"/>
    <n v="0"/>
    <x v="0"/>
    <n v="0"/>
    <n v="0"/>
    <n v="10"/>
    <n v="40"/>
    <n v="0"/>
    <n v="66.040000000000006"/>
    <n v="119.97"/>
    <m/>
    <n v="98.415755172877127"/>
    <n v="108.66738728357376"/>
    <n v="0"/>
    <n v="84.383270400000015"/>
    <n v="153.29286719999999"/>
    <n v="0"/>
    <n v="125.75171532969547"/>
    <n v="138.8508407754592"/>
  </r>
  <r>
    <s v="Sistema de Compensação"/>
    <x v="0"/>
    <x v="1"/>
    <x v="2"/>
    <x v="1"/>
    <x v="0"/>
    <x v="0"/>
    <x v="2"/>
    <x v="5"/>
    <n v="41"/>
    <n v="39.36"/>
    <n v="0"/>
    <n v="0"/>
    <n v="0"/>
    <n v="0"/>
    <n v="1"/>
    <x v="0"/>
    <n v="0"/>
    <n v="27"/>
    <n v="0"/>
    <n v="0"/>
    <n v="41.15"/>
    <n v="0"/>
    <n v="0"/>
    <n v="40.015880356222226"/>
    <m/>
    <m/>
    <n v="1619.664"/>
    <n v="0"/>
    <n v="0"/>
    <n v="1575.0250508209067"/>
    <n v="0"/>
    <n v="0"/>
  </r>
  <r>
    <s v="Sistema de Compensação"/>
    <x v="0"/>
    <x v="1"/>
    <x v="2"/>
    <x v="1"/>
    <x v="0"/>
    <x v="0"/>
    <x v="2"/>
    <x v="6"/>
    <n v="32"/>
    <n v="30.72"/>
    <n v="0"/>
    <n v="0"/>
    <n v="0"/>
    <n v="0"/>
    <n v="1"/>
    <x v="0"/>
    <n v="0"/>
    <n v="27"/>
    <n v="0"/>
    <n v="0"/>
    <n v="41.15"/>
    <n v="0"/>
    <n v="0"/>
    <n v="40.015880356222226"/>
    <m/>
    <m/>
    <n v="1264.1279999999999"/>
    <n v="0"/>
    <n v="0"/>
    <n v="1229.2878445431468"/>
    <n v="0"/>
    <n v="0"/>
  </r>
  <r>
    <s v="Sistema de Compensação"/>
    <x v="0"/>
    <x v="1"/>
    <x v="2"/>
    <x v="1"/>
    <x v="0"/>
    <x v="0"/>
    <x v="1"/>
    <x v="5"/>
    <n v="0"/>
    <n v="0"/>
    <n v="0.223"/>
    <n v="0.21407999999999999"/>
    <n v="0.223"/>
    <n v="0.21407999999999999"/>
    <n v="0"/>
    <x v="0"/>
    <n v="0"/>
    <n v="0"/>
    <n v="32"/>
    <n v="34"/>
    <n v="0"/>
    <n v="2859.84"/>
    <n v="119.97"/>
    <m/>
    <n v="2742.094396913973"/>
    <n v="108.66738728357376"/>
    <n v="0"/>
    <n v="612.23454720000007"/>
    <n v="25.6831776"/>
    <n v="0"/>
    <n v="587.02756849134335"/>
    <n v="23.263514269667471"/>
  </r>
  <r>
    <s v="Sistema de Compensação"/>
    <x v="0"/>
    <x v="1"/>
    <x v="2"/>
    <x v="1"/>
    <x v="0"/>
    <x v="0"/>
    <x v="1"/>
    <x v="6"/>
    <n v="0"/>
    <n v="0"/>
    <n v="0.246"/>
    <n v="0.23615999999999998"/>
    <n v="0.246"/>
    <n v="0.23615999999999998"/>
    <n v="0"/>
    <x v="0"/>
    <n v="0"/>
    <n v="0"/>
    <n v="32"/>
    <n v="34"/>
    <n v="0"/>
    <n v="2859.84"/>
    <n v="119.97"/>
    <m/>
    <n v="2742.094396913973"/>
    <n v="108.66738728357376"/>
    <n v="0"/>
    <n v="675.37981439999999"/>
    <n v="28.332115199999997"/>
    <n v="0"/>
    <n v="647.57301277520378"/>
    <n v="25.662890180888777"/>
  </r>
  <r>
    <s v="Regular"/>
    <x v="0"/>
    <x v="1"/>
    <x v="0"/>
    <x v="0"/>
    <x v="0"/>
    <x v="0"/>
    <x v="0"/>
    <x v="2"/>
    <n v="0"/>
    <n v="0"/>
    <n v="40.524999999999999"/>
    <n v="38.093499999999999"/>
    <n v="40.524999999999999"/>
    <n v="38.093499999999999"/>
    <n v="0"/>
    <x v="0"/>
    <n v="0"/>
    <n v="0"/>
    <n v="10"/>
    <n v="40"/>
    <n v="0"/>
    <n v="66.040000000000006"/>
    <n v="119.97"/>
    <m/>
    <n v="98.415755172877127"/>
    <n v="108.66738728357376"/>
    <n v="0"/>
    <n v="2515.6947400000004"/>
    <n v="4570.0771949999998"/>
    <n v="0"/>
    <n v="3749.0005696779949"/>
    <n v="4139.5211174868173"/>
  </r>
  <r>
    <s v="Regular"/>
    <x v="0"/>
    <x v="1"/>
    <x v="0"/>
    <x v="0"/>
    <x v="0"/>
    <x v="0"/>
    <x v="0"/>
    <x v="3"/>
    <n v="0"/>
    <n v="0"/>
    <n v="44.106000000000002"/>
    <n v="41.45964"/>
    <n v="44.106000000000002"/>
    <n v="41.45964"/>
    <n v="0"/>
    <x v="0"/>
    <n v="0"/>
    <n v="0"/>
    <n v="10"/>
    <n v="40"/>
    <n v="0"/>
    <n v="66.040000000000006"/>
    <n v="119.97"/>
    <m/>
    <n v="98.415755172877127"/>
    <n v="108.66738728357376"/>
    <n v="0"/>
    <n v="2737.9946256000003"/>
    <n v="4973.9130107999999"/>
    <n v="0"/>
    <n v="4080.2817797956236"/>
    <n v="4505.310756517546"/>
  </r>
  <r>
    <s v="Regular"/>
    <x v="0"/>
    <x v="1"/>
    <x v="0"/>
    <x v="0"/>
    <x v="0"/>
    <x v="0"/>
    <x v="0"/>
    <x v="4"/>
    <n v="0"/>
    <n v="0"/>
    <n v="47.715000000000003"/>
    <n v="44.8521"/>
    <n v="47.715000000000003"/>
    <n v="44.8521"/>
    <n v="0"/>
    <x v="0"/>
    <n v="0"/>
    <n v="0"/>
    <n v="10"/>
    <n v="40"/>
    <n v="0"/>
    <n v="66.040000000000006"/>
    <n v="119.97"/>
    <m/>
    <n v="98.415755172877127"/>
    <n v="108.66738728357376"/>
    <n v="0"/>
    <n v="2962.0326840000002"/>
    <n v="5380.9064369999996"/>
    <n v="0"/>
    <n v="4414.1532925894026"/>
    <n v="4873.9605211815788"/>
  </r>
  <r>
    <s v="Regular"/>
    <x v="0"/>
    <x v="1"/>
    <x v="0"/>
    <x v="0"/>
    <x v="0"/>
    <x v="0"/>
    <x v="0"/>
    <x v="5"/>
    <n v="0"/>
    <n v="0"/>
    <n v="27.297999999999998"/>
    <n v="25.660119999999999"/>
    <n v="27.297999999999998"/>
    <n v="25.660119999999999"/>
    <n v="0"/>
    <x v="0"/>
    <n v="0"/>
    <n v="0"/>
    <n v="10"/>
    <n v="40"/>
    <n v="0"/>
    <n v="66.040000000000006"/>
    <n v="119.97"/>
    <m/>
    <n v="98.415755172877127"/>
    <n v="108.66738728357376"/>
    <n v="0"/>
    <n v="1694.5943248000001"/>
    <n v="3078.4445963999997"/>
    <n v="0"/>
    <n v="2525.3600876266478"/>
    <n v="2788.4181977829767"/>
  </r>
  <r>
    <s v="Regular"/>
    <x v="0"/>
    <x v="1"/>
    <x v="0"/>
    <x v="0"/>
    <x v="0"/>
    <x v="0"/>
    <x v="0"/>
    <x v="6"/>
    <n v="0"/>
    <n v="0"/>
    <n v="33.279000000000003"/>
    <n v="31.282260000000001"/>
    <n v="33.279000000000003"/>
    <n v="31.282260000000001"/>
    <n v="0"/>
    <x v="0"/>
    <n v="0"/>
    <n v="0"/>
    <n v="10"/>
    <n v="40"/>
    <n v="0"/>
    <n v="66.040000000000006"/>
    <n v="119.97"/>
    <m/>
    <n v="98.415755172877127"/>
    <n v="108.66738728357376"/>
    <n v="0"/>
    <n v="2065.8804504000004"/>
    <n v="3752.9327321999999"/>
    <n v="0"/>
    <n v="3078.6672414142872"/>
    <n v="3399.3614625254481"/>
  </r>
  <r>
    <s v="Regular"/>
    <x v="0"/>
    <x v="1"/>
    <x v="0"/>
    <x v="0"/>
    <x v="0"/>
    <x v="0"/>
    <x v="0"/>
    <x v="7"/>
    <n v="0"/>
    <n v="0"/>
    <n v="32.734999999999999"/>
    <n v="30.770900000000001"/>
    <n v="32.734999999999999"/>
    <n v="30.770900000000001"/>
    <n v="0"/>
    <x v="0"/>
    <n v="0"/>
    <n v="0"/>
    <n v="10"/>
    <n v="40"/>
    <n v="0"/>
    <n v="66.040000000000006"/>
    <n v="119.97"/>
    <m/>
    <n v="98.415755172877127"/>
    <n v="108.66738728357376"/>
    <n v="0"/>
    <n v="2032.1102360000002"/>
    <n v="3691.5848730000002"/>
    <n v="0"/>
    <n v="3028.341360849085"/>
    <n v="3343.7933073641198"/>
  </r>
  <r>
    <s v="Regular"/>
    <x v="0"/>
    <x v="1"/>
    <x v="0"/>
    <x v="0"/>
    <x v="0"/>
    <x v="0"/>
    <x v="0"/>
    <x v="8"/>
    <n v="0"/>
    <n v="0"/>
    <n v="34.439"/>
    <n v="32.372660000000003"/>
    <n v="34.439"/>
    <n v="32.372660000000003"/>
    <n v="0"/>
    <x v="0"/>
    <n v="0"/>
    <n v="0"/>
    <n v="10"/>
    <n v="40"/>
    <n v="0"/>
    <n v="66.040000000000006"/>
    <n v="119.97"/>
    <m/>
    <n v="98.415755172877127"/>
    <n v="108.66738728357376"/>
    <n v="0"/>
    <n v="2137.8904664000006"/>
    <n v="3883.7480202000002"/>
    <n v="0"/>
    <n v="3185.9797808547928"/>
    <n v="3517.8523816194574"/>
  </r>
  <r>
    <s v="Regular"/>
    <x v="0"/>
    <x v="1"/>
    <x v="0"/>
    <x v="0"/>
    <x v="0"/>
    <x v="0"/>
    <x v="0"/>
    <x v="9"/>
    <n v="0"/>
    <n v="0"/>
    <n v="34.14"/>
    <n v="32.0916"/>
    <n v="34.14"/>
    <n v="32.0916"/>
    <n v="0"/>
    <x v="0"/>
    <n v="0"/>
    <n v="0"/>
    <n v="10"/>
    <n v="40"/>
    <n v="0"/>
    <n v="66.040000000000006"/>
    <n v="119.97"/>
    <m/>
    <n v="98.415755172877127"/>
    <n v="108.66738728357376"/>
    <n v="0"/>
    <n v="2119.329264"/>
    <n v="3850.0292519999998"/>
    <n v="0"/>
    <n v="3158.3190487059037"/>
    <n v="3487.3103257495354"/>
  </r>
  <r>
    <s v="Regular"/>
    <x v="0"/>
    <x v="1"/>
    <x v="0"/>
    <x v="0"/>
    <x v="0"/>
    <x v="0"/>
    <x v="0"/>
    <x v="10"/>
    <n v="0"/>
    <n v="0"/>
    <n v="39.697000000000003"/>
    <n v="37.315179999999998"/>
    <n v="39.697000000000003"/>
    <n v="37.315179999999998"/>
    <n v="0"/>
    <x v="0"/>
    <n v="0"/>
    <n v="0"/>
    <n v="10"/>
    <n v="40"/>
    <n v="0"/>
    <n v="66.040000000000006"/>
    <n v="119.97"/>
    <m/>
    <n v="98.415755172877127"/>
    <n v="108.66738728357376"/>
    <n v="0"/>
    <n v="2464.2944872000003"/>
    <n v="4476.7021445999999"/>
    <n v="0"/>
    <n v="3672.4016191118408"/>
    <n v="4054.9431166162658"/>
  </r>
  <r>
    <s v="PROJETADO"/>
    <x v="0"/>
    <x v="1"/>
    <x v="0"/>
    <x v="0"/>
    <x v="0"/>
    <x v="0"/>
    <x v="0"/>
    <x v="11"/>
    <n v="0"/>
    <n v="0"/>
    <n v="39.697000000000003"/>
    <n v="37.315179999999998"/>
    <n v="39.697000000000003"/>
    <n v="37.315179999999998"/>
    <n v="0"/>
    <x v="0"/>
    <n v="0"/>
    <n v="0"/>
    <n v="10"/>
    <n v="40"/>
    <n v="0"/>
    <n v="66.040000000000006"/>
    <n v="119.97"/>
    <m/>
    <n v="98.415755172877127"/>
    <n v="108.66738728357376"/>
    <n v="0"/>
    <n v="2464.2944872000003"/>
    <n v="4476.7021445999999"/>
    <n v="0"/>
    <n v="3672.4016191118408"/>
    <n v="4054.9431166162658"/>
  </r>
  <r>
    <s v="Regular"/>
    <x v="0"/>
    <x v="1"/>
    <x v="0"/>
    <x v="0"/>
    <x v="0"/>
    <x v="0"/>
    <x v="2"/>
    <x v="2"/>
    <n v="100"/>
    <n v="85"/>
    <n v="0"/>
    <n v="0"/>
    <n v="0"/>
    <n v="0"/>
    <n v="1"/>
    <x v="0"/>
    <n v="0"/>
    <n v="27"/>
    <n v="0"/>
    <n v="0"/>
    <n v="41.15"/>
    <n v="0"/>
    <n v="0"/>
    <n v="40.015880356222226"/>
    <m/>
    <m/>
    <n v="3497.75"/>
    <n v="0"/>
    <n v="0"/>
    <n v="3401.3498302788894"/>
    <n v="0"/>
    <n v="0"/>
  </r>
  <r>
    <s v="Regular"/>
    <x v="0"/>
    <x v="1"/>
    <x v="0"/>
    <x v="0"/>
    <x v="0"/>
    <x v="0"/>
    <x v="2"/>
    <x v="3"/>
    <n v="100"/>
    <n v="85"/>
    <n v="0"/>
    <n v="0"/>
    <n v="0"/>
    <n v="0"/>
    <n v="1"/>
    <x v="0"/>
    <n v="0"/>
    <n v="27"/>
    <n v="0"/>
    <n v="0"/>
    <n v="41.15"/>
    <n v="0"/>
    <n v="0"/>
    <n v="40.015880356222226"/>
    <m/>
    <m/>
    <n v="3497.75"/>
    <n v="0"/>
    <n v="0"/>
    <n v="3401.3498302788894"/>
    <n v="0"/>
    <n v="0"/>
  </r>
  <r>
    <s v="Regular"/>
    <x v="0"/>
    <x v="1"/>
    <x v="0"/>
    <x v="0"/>
    <x v="0"/>
    <x v="0"/>
    <x v="2"/>
    <x v="4"/>
    <n v="101"/>
    <n v="85.85"/>
    <n v="0"/>
    <n v="0"/>
    <n v="0"/>
    <n v="0"/>
    <n v="1"/>
    <x v="0"/>
    <n v="0"/>
    <n v="27"/>
    <n v="0"/>
    <n v="0"/>
    <n v="41.15"/>
    <n v="0"/>
    <n v="0"/>
    <n v="40.015880356222226"/>
    <m/>
    <m/>
    <n v="3532.7274999999995"/>
    <n v="0"/>
    <n v="0"/>
    <n v="3435.3633285816777"/>
    <n v="0"/>
    <n v="0"/>
  </r>
  <r>
    <s v="Regular"/>
    <x v="0"/>
    <x v="1"/>
    <x v="0"/>
    <x v="0"/>
    <x v="0"/>
    <x v="0"/>
    <x v="2"/>
    <x v="5"/>
    <n v="100"/>
    <n v="85"/>
    <n v="0"/>
    <n v="0"/>
    <n v="0"/>
    <n v="0"/>
    <n v="1"/>
    <x v="0"/>
    <n v="0"/>
    <n v="27"/>
    <n v="0"/>
    <n v="0"/>
    <n v="41.15"/>
    <n v="0"/>
    <n v="0"/>
    <n v="40.015880356222226"/>
    <m/>
    <m/>
    <n v="3497.75"/>
    <n v="0"/>
    <n v="0"/>
    <n v="3401.3498302788894"/>
    <n v="0"/>
    <n v="0"/>
  </r>
  <r>
    <s v="Regular"/>
    <x v="0"/>
    <x v="1"/>
    <x v="0"/>
    <x v="0"/>
    <x v="0"/>
    <x v="0"/>
    <x v="2"/>
    <x v="6"/>
    <n v="100"/>
    <n v="85"/>
    <n v="0"/>
    <n v="0"/>
    <n v="0"/>
    <n v="0"/>
    <n v="1"/>
    <x v="0"/>
    <n v="0"/>
    <n v="27"/>
    <n v="0"/>
    <n v="0"/>
    <n v="41.15"/>
    <n v="0"/>
    <n v="0"/>
    <n v="40.015880356222226"/>
    <m/>
    <m/>
    <n v="3497.75"/>
    <n v="0"/>
    <n v="0"/>
    <n v="3401.3498302788894"/>
    <n v="0"/>
    <n v="0"/>
  </r>
  <r>
    <s v="Regular"/>
    <x v="0"/>
    <x v="1"/>
    <x v="0"/>
    <x v="0"/>
    <x v="0"/>
    <x v="0"/>
    <x v="2"/>
    <x v="7"/>
    <n v="100"/>
    <n v="85"/>
    <n v="0"/>
    <n v="0"/>
    <n v="0"/>
    <n v="0"/>
    <n v="1"/>
    <x v="0"/>
    <n v="0"/>
    <n v="27"/>
    <n v="0"/>
    <n v="0"/>
    <n v="41.15"/>
    <n v="0"/>
    <n v="0"/>
    <n v="40.015880356222226"/>
    <m/>
    <m/>
    <n v="3497.75"/>
    <n v="0"/>
    <n v="0"/>
    <n v="3401.3498302788894"/>
    <n v="0"/>
    <n v="0"/>
  </r>
  <r>
    <s v="Regular"/>
    <x v="0"/>
    <x v="1"/>
    <x v="0"/>
    <x v="0"/>
    <x v="0"/>
    <x v="0"/>
    <x v="2"/>
    <x v="8"/>
    <n v="100"/>
    <n v="85"/>
    <n v="0"/>
    <n v="0"/>
    <n v="0"/>
    <n v="0"/>
    <n v="1"/>
    <x v="0"/>
    <n v="0"/>
    <n v="27"/>
    <n v="0"/>
    <n v="0"/>
    <n v="41.15"/>
    <n v="0"/>
    <n v="0"/>
    <n v="40.015880356222226"/>
    <m/>
    <m/>
    <n v="3497.75"/>
    <n v="0"/>
    <n v="0"/>
    <n v="3401.3498302788894"/>
    <n v="0"/>
    <n v="0"/>
  </r>
  <r>
    <s v="Regular"/>
    <x v="0"/>
    <x v="1"/>
    <x v="0"/>
    <x v="0"/>
    <x v="0"/>
    <x v="0"/>
    <x v="2"/>
    <x v="9"/>
    <n v="100"/>
    <n v="85"/>
    <n v="0"/>
    <n v="0"/>
    <n v="0"/>
    <n v="0"/>
    <n v="1"/>
    <x v="0"/>
    <n v="0"/>
    <n v="27"/>
    <n v="0"/>
    <n v="0"/>
    <n v="41.15"/>
    <n v="0"/>
    <n v="0"/>
    <n v="40.015880356222226"/>
    <m/>
    <m/>
    <n v="3497.75"/>
    <n v="0"/>
    <n v="0"/>
    <n v="3401.3498302788894"/>
    <n v="0"/>
    <n v="0"/>
  </r>
  <r>
    <s v="Regular"/>
    <x v="0"/>
    <x v="1"/>
    <x v="0"/>
    <x v="0"/>
    <x v="0"/>
    <x v="0"/>
    <x v="2"/>
    <x v="10"/>
    <n v="100"/>
    <n v="85"/>
    <n v="0"/>
    <n v="0"/>
    <n v="0"/>
    <n v="0"/>
    <n v="1"/>
    <x v="0"/>
    <n v="0"/>
    <n v="27"/>
    <n v="0"/>
    <n v="0"/>
    <n v="41.15"/>
    <n v="0"/>
    <n v="0"/>
    <n v="40.015880356222226"/>
    <m/>
    <m/>
    <n v="3497.75"/>
    <n v="0"/>
    <n v="0"/>
    <n v="3401.3498302788894"/>
    <n v="0"/>
    <n v="0"/>
  </r>
  <r>
    <s v="PROJETADO"/>
    <x v="0"/>
    <x v="1"/>
    <x v="0"/>
    <x v="0"/>
    <x v="0"/>
    <x v="0"/>
    <x v="2"/>
    <x v="11"/>
    <n v="100"/>
    <n v="85"/>
    <n v="0"/>
    <n v="0"/>
    <n v="0"/>
    <n v="0"/>
    <n v="1"/>
    <x v="0"/>
    <n v="0"/>
    <n v="27"/>
    <n v="0"/>
    <n v="0"/>
    <n v="41.15"/>
    <n v="0"/>
    <n v="0"/>
    <n v="40.015880356222226"/>
    <m/>
    <m/>
    <n v="3497.75"/>
    <n v="0"/>
    <n v="0"/>
    <n v="3401.3498302788894"/>
    <n v="0"/>
    <n v="0"/>
  </r>
  <r>
    <s v="Regular"/>
    <x v="0"/>
    <x v="1"/>
    <x v="0"/>
    <x v="0"/>
    <x v="0"/>
    <x v="0"/>
    <x v="1"/>
    <x v="2"/>
    <n v="0"/>
    <n v="0"/>
    <n v="4.5609999999999999"/>
    <n v="4.2873400000000004"/>
    <n v="4.5609999999999999"/>
    <n v="4.2873400000000004"/>
    <n v="0"/>
    <x v="0"/>
    <n v="0"/>
    <n v="0"/>
    <n v="32"/>
    <n v="34"/>
    <n v="0"/>
    <n v="2859.84"/>
    <n v="119.97"/>
    <m/>
    <n v="2742.094396913973"/>
    <n v="108.66738728357376"/>
    <n v="0"/>
    <n v="12261.106425600001"/>
    <n v="514.35217980000004"/>
    <n v="0"/>
    <n v="11756.290991665153"/>
    <n v="465.89403619635715"/>
  </r>
  <r>
    <s v="Regular"/>
    <x v="0"/>
    <x v="1"/>
    <x v="0"/>
    <x v="0"/>
    <x v="0"/>
    <x v="0"/>
    <x v="1"/>
    <x v="3"/>
    <n v="0"/>
    <n v="0"/>
    <n v="5.7910000000000004"/>
    <n v="5.4435399999999996"/>
    <n v="5.7910000000000004"/>
    <n v="5.4435399999999996"/>
    <n v="0"/>
    <x v="0"/>
    <n v="0"/>
    <n v="0"/>
    <n v="32"/>
    <n v="34"/>
    <n v="0"/>
    <n v="2859.84"/>
    <n v="119.97"/>
    <m/>
    <n v="2742.094396913973"/>
    <n v="108.66738728357376"/>
    <n v="0"/>
    <n v="15567.6534336"/>
    <n v="653.06149379999999"/>
    <n v="0"/>
    <n v="14926.700533377087"/>
    <n v="591.53526937362506"/>
  </r>
  <r>
    <s v="Regular"/>
    <x v="0"/>
    <x v="1"/>
    <x v="0"/>
    <x v="0"/>
    <x v="0"/>
    <x v="0"/>
    <x v="1"/>
    <x v="4"/>
    <n v="0"/>
    <n v="0"/>
    <n v="5.6879999999999997"/>
    <n v="5.3467200000000004"/>
    <n v="5.6879999999999997"/>
    <n v="5.3467200000000004"/>
    <n v="0"/>
    <x v="0"/>
    <n v="0"/>
    <n v="0"/>
    <n v="32"/>
    <n v="34"/>
    <n v="0"/>
    <n v="2859.84"/>
    <n v="119.97"/>
    <m/>
    <n v="2742.094396913973"/>
    <n v="108.66738728357376"/>
    <n v="0"/>
    <n v="15290.763724800001"/>
    <n v="641.44599840000001"/>
    <n v="0"/>
    <n v="14661.21095386788"/>
    <n v="581.01409293682957"/>
  </r>
  <r>
    <s v="Regular"/>
    <x v="0"/>
    <x v="1"/>
    <x v="0"/>
    <x v="0"/>
    <x v="0"/>
    <x v="0"/>
    <x v="1"/>
    <x v="5"/>
    <n v="0"/>
    <n v="0"/>
    <n v="3.3929999999999998"/>
    <n v="3.1894200000000001"/>
    <n v="3.3929999999999998"/>
    <n v="3.1894200000000001"/>
    <n v="0"/>
    <x v="0"/>
    <n v="0"/>
    <n v="0"/>
    <n v="32"/>
    <n v="34"/>
    <n v="0"/>
    <n v="2859.84"/>
    <n v="119.97"/>
    <m/>
    <n v="2742.094396913973"/>
    <n v="108.66738728357376"/>
    <n v="0"/>
    <n v="9121.2308928000002"/>
    <n v="382.6347174"/>
    <n v="0"/>
    <n v="8745.6907114053647"/>
    <n v="346.58593834997583"/>
  </r>
  <r>
    <s v="Regular"/>
    <x v="0"/>
    <x v="1"/>
    <x v="0"/>
    <x v="0"/>
    <x v="0"/>
    <x v="0"/>
    <x v="1"/>
    <x v="6"/>
    <n v="0"/>
    <n v="0"/>
    <n v="3.51"/>
    <n v="3.2993999999999999"/>
    <n v="3.51"/>
    <n v="3.2993999999999999"/>
    <n v="0"/>
    <x v="0"/>
    <n v="0"/>
    <n v="0"/>
    <n v="32"/>
    <n v="34"/>
    <n v="0"/>
    <n v="2859.84"/>
    <n v="119.97"/>
    <m/>
    <n v="2742.094396913973"/>
    <n v="108.66738728357376"/>
    <n v="0"/>
    <n v="9435.756096000001"/>
    <n v="395.82901799999996"/>
    <n v="0"/>
    <n v="9047.2662531779624"/>
    <n v="358.53717760342323"/>
  </r>
  <r>
    <s v="Regular"/>
    <x v="0"/>
    <x v="1"/>
    <x v="0"/>
    <x v="0"/>
    <x v="0"/>
    <x v="0"/>
    <x v="1"/>
    <x v="7"/>
    <n v="0"/>
    <n v="0"/>
    <n v="3.347"/>
    <n v="3.1461800000000002"/>
    <n v="3.347"/>
    <n v="3.1461800000000002"/>
    <n v="0"/>
    <x v="0"/>
    <n v="0"/>
    <n v="0"/>
    <n v="32"/>
    <n v="34"/>
    <n v="0"/>
    <n v="2859.84"/>
    <n v="119.97"/>
    <m/>
    <n v="2742.094396913973"/>
    <n v="108.66738728357376"/>
    <n v="0"/>
    <n v="8997.5714112000005"/>
    <n v="377.4472146"/>
    <n v="0"/>
    <n v="8627.1225496828047"/>
    <n v="341.8871605238341"/>
  </r>
  <r>
    <s v="Regular"/>
    <x v="0"/>
    <x v="1"/>
    <x v="0"/>
    <x v="0"/>
    <x v="0"/>
    <x v="0"/>
    <x v="1"/>
    <x v="8"/>
    <n v="0"/>
    <n v="0"/>
    <n v="4.077"/>
    <n v="3.8323800000000001"/>
    <n v="4.077"/>
    <n v="3.8323800000000001"/>
    <n v="0"/>
    <x v="0"/>
    <n v="0"/>
    <n v="0"/>
    <n v="32"/>
    <n v="34"/>
    <n v="0"/>
    <n v="2859.84"/>
    <n v="119.97"/>
    <m/>
    <n v="2742.094396913973"/>
    <n v="108.66738728357376"/>
    <n v="0"/>
    <n v="10959.9936192"/>
    <n v="459.77062860000001"/>
    <n v="0"/>
    <n v="10508.747724845172"/>
    <n v="416.45472167782242"/>
  </r>
  <r>
    <s v="Regular"/>
    <x v="0"/>
    <x v="1"/>
    <x v="0"/>
    <x v="0"/>
    <x v="0"/>
    <x v="0"/>
    <x v="1"/>
    <x v="9"/>
    <n v="0"/>
    <n v="0"/>
    <n v="3.8940000000000001"/>
    <n v="3.6603599999999998"/>
    <n v="3.8940000000000001"/>
    <n v="3.6603599999999998"/>
    <n v="0"/>
    <x v="0"/>
    <n v="0"/>
    <n v="0"/>
    <n v="32"/>
    <n v="34"/>
    <n v="0"/>
    <n v="2859.84"/>
    <n v="119.97"/>
    <m/>
    <n v="2742.094396913973"/>
    <n v="108.66738728357376"/>
    <n v="0"/>
    <n v="10468.0439424"/>
    <n v="439.13338919999995"/>
    <n v="0"/>
    <n v="10037.052646688029"/>
    <n v="397.76175771730203"/>
  </r>
  <r>
    <s v="Regular"/>
    <x v="0"/>
    <x v="1"/>
    <x v="0"/>
    <x v="0"/>
    <x v="0"/>
    <x v="0"/>
    <x v="1"/>
    <x v="10"/>
    <n v="0"/>
    <n v="0"/>
    <n v="4.5410000000000004"/>
    <n v="4.2685399999999998"/>
    <n v="4.5410000000000004"/>
    <n v="4.2685399999999998"/>
    <n v="0"/>
    <x v="0"/>
    <n v="0"/>
    <n v="0"/>
    <n v="32"/>
    <n v="34"/>
    <n v="0"/>
    <n v="2859.84"/>
    <n v="119.97"/>
    <m/>
    <n v="2742.094396913973"/>
    <n v="108.66738728357376"/>
    <n v="0"/>
    <n v="12207.341433600001"/>
    <n v="512.09674380000001"/>
    <n v="0"/>
    <n v="11704.73961700317"/>
    <n v="463.8510893154259"/>
  </r>
  <r>
    <s v="PROJETADO"/>
    <x v="0"/>
    <x v="1"/>
    <x v="0"/>
    <x v="0"/>
    <x v="0"/>
    <x v="0"/>
    <x v="1"/>
    <x v="11"/>
    <n v="0"/>
    <n v="0"/>
    <n v="4.5410000000000004"/>
    <n v="4.2685399999999998"/>
    <n v="4.5410000000000004"/>
    <n v="4.2685399999999998"/>
    <n v="0"/>
    <x v="0"/>
    <n v="0"/>
    <n v="0"/>
    <n v="32"/>
    <n v="34"/>
    <n v="0"/>
    <n v="2859.84"/>
    <n v="119.97"/>
    <m/>
    <n v="2742.094396913973"/>
    <n v="108.66738728357376"/>
    <n v="0"/>
    <n v="12207.341433600001"/>
    <n v="512.09674380000001"/>
    <n v="0"/>
    <n v="11704.73961700317"/>
    <n v="463.8510893154259"/>
  </r>
  <r>
    <s v="Regular"/>
    <x v="1"/>
    <x v="2"/>
    <x v="3"/>
    <x v="2"/>
    <x v="0"/>
    <x v="0"/>
    <x v="2"/>
    <x v="0"/>
    <n v="0"/>
    <n v="0"/>
    <n v="480.62900000000002"/>
    <n v="480.62900000000002"/>
    <n v="480.62900000000002"/>
    <n v="480.62900000000002"/>
    <n v="3107"/>
    <x v="0"/>
    <n v="0"/>
    <n v="0"/>
    <n v="15"/>
    <n v="43"/>
    <n v="0"/>
    <n v="609.05999999999995"/>
    <n v="119.97"/>
    <m/>
    <n v="614.27335522224178"/>
    <n v="108.66738728357376"/>
    <n v="0"/>
    <n v="292731.89873999998"/>
    <n v="57661.061130000002"/>
    <n v="0"/>
    <n v="295237.58844711084"/>
    <n v="52228.697682716775"/>
  </r>
  <r>
    <s v="Refaturamento - Regular"/>
    <x v="1"/>
    <x v="2"/>
    <x v="3"/>
    <x v="2"/>
    <x v="0"/>
    <x v="0"/>
    <x v="2"/>
    <x v="0"/>
    <n v="0"/>
    <n v="0"/>
    <n v="-1.069"/>
    <n v="-1.069"/>
    <n v="-1.069"/>
    <n v="-1.069"/>
    <n v="0"/>
    <x v="0"/>
    <n v="0"/>
    <n v="0"/>
    <n v="15"/>
    <n v="43"/>
    <n v="0"/>
    <n v="609.05999999999995"/>
    <n v="119.97"/>
    <m/>
    <n v="614.27335522224178"/>
    <n v="108.66738728357376"/>
    <n v="0"/>
    <n v="-651.08513999999991"/>
    <n v="-128.24793"/>
    <n v="0"/>
    <n v="-656.65821673257642"/>
    <n v="-116.16543700614034"/>
  </r>
  <r>
    <s v="Sistema de Compensação"/>
    <x v="1"/>
    <x v="2"/>
    <x v="3"/>
    <x v="2"/>
    <x v="0"/>
    <x v="0"/>
    <x v="2"/>
    <x v="0"/>
    <n v="0"/>
    <n v="0"/>
    <n v="7.1079999999999997"/>
    <n v="7.1079999999999997"/>
    <n v="7.1079999999999997"/>
    <n v="7.1079999999999997"/>
    <n v="19"/>
    <x v="0"/>
    <n v="0"/>
    <n v="0"/>
    <n v="15"/>
    <n v="43"/>
    <n v="0"/>
    <n v="609.05999999999995"/>
    <n v="119.97"/>
    <m/>
    <n v="614.27335522224178"/>
    <n v="108.66738728357376"/>
    <n v="0"/>
    <n v="4329.1984799999991"/>
    <n v="852.74675999999999"/>
    <n v="0"/>
    <n v="4366.2550089196948"/>
    <n v="772.40778881164226"/>
  </r>
  <r>
    <s v="Regular"/>
    <x v="1"/>
    <x v="2"/>
    <x v="3"/>
    <x v="2"/>
    <x v="0"/>
    <x v="0"/>
    <x v="2"/>
    <x v="1"/>
    <n v="0"/>
    <n v="0"/>
    <n v="529.947"/>
    <n v="529.947"/>
    <n v="529.947"/>
    <n v="529.947"/>
    <n v="3112"/>
    <x v="0"/>
    <n v="0"/>
    <n v="0"/>
    <n v="15"/>
    <n v="43"/>
    <n v="0"/>
    <n v="609.05999999999995"/>
    <n v="119.97"/>
    <m/>
    <n v="614.27335522224178"/>
    <n v="108.66738728357376"/>
    <n v="0"/>
    <n v="322769.51981999999"/>
    <n v="63577.741589999998"/>
    <n v="0"/>
    <n v="325532.32177996135"/>
    <n v="57587.955888768061"/>
  </r>
  <r>
    <s v="Refaturamento - Regular"/>
    <x v="1"/>
    <x v="2"/>
    <x v="3"/>
    <x v="2"/>
    <x v="0"/>
    <x v="0"/>
    <x v="2"/>
    <x v="1"/>
    <n v="0"/>
    <n v="0"/>
    <n v="-7.6999999999999999E-2"/>
    <n v="-7.6999999999999999E-2"/>
    <n v="-7.6999999999999999E-2"/>
    <n v="-7.6999999999999999E-2"/>
    <n v="0"/>
    <x v="0"/>
    <n v="0"/>
    <n v="0"/>
    <n v="15"/>
    <n v="43"/>
    <n v="0"/>
    <n v="609.05999999999995"/>
    <n v="119.97"/>
    <m/>
    <n v="614.27335522224178"/>
    <n v="108.66738728357376"/>
    <n v="0"/>
    <n v="-46.897619999999996"/>
    <n v="-9.2376900000000006"/>
    <n v="0"/>
    <n v="-47.299048352112614"/>
    <n v="-8.3673888208351794"/>
  </r>
  <r>
    <s v="Sistema de Compensação"/>
    <x v="1"/>
    <x v="2"/>
    <x v="3"/>
    <x v="2"/>
    <x v="0"/>
    <x v="0"/>
    <x v="2"/>
    <x v="1"/>
    <n v="0"/>
    <n v="0"/>
    <n v="4.8079999999999998"/>
    <n v="4.8079999999999998"/>
    <n v="4.8079999999999998"/>
    <n v="4.8079999999999998"/>
    <n v="21"/>
    <x v="0"/>
    <n v="0"/>
    <n v="0"/>
    <n v="15"/>
    <n v="43"/>
    <n v="0"/>
    <n v="609.05999999999995"/>
    <n v="119.97"/>
    <m/>
    <n v="614.27335522224178"/>
    <n v="108.66738728357376"/>
    <n v="0"/>
    <n v="2928.3604799999998"/>
    <n v="576.81575999999995"/>
    <n v="0"/>
    <n v="2953.4262919085381"/>
    <n v="522.47279805942264"/>
  </r>
  <r>
    <s v="Regular"/>
    <x v="1"/>
    <x v="2"/>
    <x v="3"/>
    <x v="2"/>
    <x v="0"/>
    <x v="0"/>
    <x v="2"/>
    <x v="2"/>
    <n v="0"/>
    <n v="0"/>
    <n v="518.81799999999998"/>
    <n v="518.81799999999998"/>
    <n v="518.81799999999998"/>
    <n v="518.81799999999998"/>
    <n v="3127"/>
    <x v="0"/>
    <n v="0"/>
    <n v="0"/>
    <n v="15"/>
    <n v="43"/>
    <n v="0"/>
    <n v="609.05999999999995"/>
    <n v="119.97"/>
    <m/>
    <n v="614.27335522224178"/>
    <n v="108.66738728357376"/>
    <n v="0"/>
    <n v="315991.29107999994"/>
    <n v="62242.595459999997"/>
    <n v="0"/>
    <n v="318696.07360969303"/>
    <n v="56378.596535689168"/>
  </r>
  <r>
    <s v="Refaturamento - Regular"/>
    <x v="1"/>
    <x v="2"/>
    <x v="3"/>
    <x v="2"/>
    <x v="0"/>
    <x v="0"/>
    <x v="2"/>
    <x v="2"/>
    <n v="0"/>
    <n v="0"/>
    <n v="-10.615"/>
    <n v="-10.615"/>
    <n v="-10.615"/>
    <n v="-10.615"/>
    <n v="0"/>
    <x v="0"/>
    <n v="0"/>
    <n v="0"/>
    <n v="15"/>
    <n v="43"/>
    <n v="0"/>
    <n v="609.05999999999995"/>
    <n v="119.97"/>
    <m/>
    <n v="614.27335522224178"/>
    <n v="108.66738728357376"/>
    <n v="0"/>
    <n v="-6465.1718999999994"/>
    <n v="-1273.48155"/>
    <n v="0"/>
    <n v="-6520.5116656840964"/>
    <n v="-1153.5043160151354"/>
  </r>
  <r>
    <s v="Regular"/>
    <x v="1"/>
    <x v="2"/>
    <x v="3"/>
    <x v="2"/>
    <x v="0"/>
    <x v="0"/>
    <x v="2"/>
    <x v="3"/>
    <n v="0"/>
    <n v="0"/>
    <n v="532.57899999999995"/>
    <n v="532.57899999999995"/>
    <n v="532.57899999999995"/>
    <n v="532.57899999999995"/>
    <n v="3118"/>
    <x v="0"/>
    <n v="0"/>
    <n v="0"/>
    <n v="15"/>
    <n v="43"/>
    <n v="0"/>
    <n v="609.05999999999995"/>
    <n v="119.97"/>
    <m/>
    <n v="614.27335522224178"/>
    <n v="108.66738728357376"/>
    <n v="0"/>
    <n v="324372.56573999993"/>
    <n v="63893.502629999995"/>
    <n v="0"/>
    <n v="327149.08925090625"/>
    <n v="57873.968452098423"/>
  </r>
  <r>
    <s v="Refaturamento - Regular"/>
    <x v="1"/>
    <x v="2"/>
    <x v="3"/>
    <x v="2"/>
    <x v="0"/>
    <x v="0"/>
    <x v="2"/>
    <x v="3"/>
    <n v="0"/>
    <n v="0"/>
    <n v="-37.978000000000002"/>
    <n v="-37.978000000000002"/>
    <n v="-37.978000000000002"/>
    <n v="-37.978000000000002"/>
    <n v="0"/>
    <x v="0"/>
    <n v="0"/>
    <n v="0"/>
    <n v="15"/>
    <n v="43"/>
    <n v="0"/>
    <n v="609.05999999999995"/>
    <n v="119.97"/>
    <m/>
    <n v="614.27335522224178"/>
    <n v="108.66738728357376"/>
    <n v="0"/>
    <n v="-23130.880679999998"/>
    <n v="-4556.22066"/>
    <n v="0"/>
    <n v="-23328.873484630298"/>
    <n v="-4126.9700342555643"/>
  </r>
  <r>
    <s v="Sistema de Compensação"/>
    <x v="1"/>
    <x v="2"/>
    <x v="3"/>
    <x v="2"/>
    <x v="0"/>
    <x v="0"/>
    <x v="2"/>
    <x v="3"/>
    <n v="0"/>
    <n v="0"/>
    <n v="6.3559999999999999"/>
    <n v="6.3559999999999999"/>
    <n v="6.3559999999999999"/>
    <n v="6.3559999999999999"/>
    <n v="31"/>
    <x v="0"/>
    <n v="0"/>
    <n v="0"/>
    <n v="15"/>
    <n v="43"/>
    <n v="0"/>
    <n v="609.05999999999995"/>
    <n v="119.97"/>
    <m/>
    <n v="614.27335522224178"/>
    <n v="108.66738728357376"/>
    <n v="0"/>
    <n v="3871.1853599999995"/>
    <n v="762.52931999999998"/>
    <n v="0"/>
    <n v="3904.3214457925687"/>
    <n v="690.68991357439484"/>
  </r>
  <r>
    <s v="Regular"/>
    <x v="1"/>
    <x v="2"/>
    <x v="3"/>
    <x v="2"/>
    <x v="0"/>
    <x v="0"/>
    <x v="2"/>
    <x v="4"/>
    <n v="0"/>
    <n v="0"/>
    <n v="575.85500000000002"/>
    <n v="575.85500000000002"/>
    <n v="575.85500000000002"/>
    <n v="575.85500000000002"/>
    <n v="3116"/>
    <x v="0"/>
    <n v="0"/>
    <n v="0"/>
    <n v="15"/>
    <n v="43"/>
    <n v="0"/>
    <n v="609.05999999999995"/>
    <n v="119.97"/>
    <m/>
    <n v="614.27335522224178"/>
    <n v="108.66738728357376"/>
    <n v="0"/>
    <n v="350730.2463"/>
    <n v="69085.324349999995"/>
    <n v="0"/>
    <n v="353732.38297150406"/>
    <n v="62576.658304182369"/>
  </r>
  <r>
    <s v="Refaturamento - Regular"/>
    <x v="1"/>
    <x v="2"/>
    <x v="3"/>
    <x v="2"/>
    <x v="0"/>
    <x v="0"/>
    <x v="2"/>
    <x v="4"/>
    <n v="0"/>
    <n v="0"/>
    <n v="-8.907"/>
    <n v="-8.907"/>
    <n v="-8.907"/>
    <n v="-8.907"/>
    <n v="0"/>
    <x v="0"/>
    <n v="0"/>
    <n v="0"/>
    <n v="15"/>
    <n v="43"/>
    <n v="0"/>
    <n v="609.05999999999995"/>
    <n v="119.97"/>
    <m/>
    <n v="614.27335522224178"/>
    <n v="108.66738728357376"/>
    <n v="0"/>
    <n v="-5424.8974199999993"/>
    <n v="-1068.5727899999999"/>
    <n v="0"/>
    <n v="-5471.3327749645077"/>
    <n v="-967.90041853479147"/>
  </r>
  <r>
    <s v="Sistema de Compensação"/>
    <x v="1"/>
    <x v="2"/>
    <x v="3"/>
    <x v="2"/>
    <x v="0"/>
    <x v="0"/>
    <x v="2"/>
    <x v="4"/>
    <n v="0"/>
    <n v="0"/>
    <n v="6.1020000000000003"/>
    <n v="6.1020000000000003"/>
    <n v="6.1020000000000003"/>
    <n v="6.1020000000000003"/>
    <n v="33"/>
    <x v="0"/>
    <n v="0"/>
    <n v="0"/>
    <n v="15"/>
    <n v="43"/>
    <n v="0"/>
    <n v="609.05999999999995"/>
    <n v="119.97"/>
    <m/>
    <n v="614.27335522224178"/>
    <n v="108.66738728357376"/>
    <n v="0"/>
    <n v="3716.4841200000001"/>
    <n v="732.05694000000005"/>
    <n v="0"/>
    <n v="3748.2960135661197"/>
    <n v="663.08839720436708"/>
  </r>
  <r>
    <s v="Regular"/>
    <x v="1"/>
    <x v="2"/>
    <x v="3"/>
    <x v="2"/>
    <x v="0"/>
    <x v="0"/>
    <x v="2"/>
    <x v="5"/>
    <n v="0"/>
    <n v="0"/>
    <n v="659.79499999999996"/>
    <n v="659.79499999999996"/>
    <n v="659.79499999999996"/>
    <n v="659.79499999999996"/>
    <n v="3107"/>
    <x v="0"/>
    <n v="0"/>
    <n v="0"/>
    <n v="15"/>
    <n v="43"/>
    <n v="0"/>
    <n v="609.05999999999995"/>
    <n v="119.97"/>
    <m/>
    <n v="614.27335522224178"/>
    <n v="108.66738728357376"/>
    <n v="0"/>
    <n v="401854.74269999994"/>
    <n v="79155.606149999992"/>
    <n v="0"/>
    <n v="405294.488408859"/>
    <n v="71698.198792765543"/>
  </r>
  <r>
    <s v="Refaturamento - Regular"/>
    <x v="1"/>
    <x v="2"/>
    <x v="3"/>
    <x v="2"/>
    <x v="0"/>
    <x v="0"/>
    <x v="2"/>
    <x v="5"/>
    <n v="0"/>
    <n v="0"/>
    <n v="-6.9000000000000006E-2"/>
    <n v="-6.9000000000000006E-2"/>
    <n v="-6.9000000000000006E-2"/>
    <n v="-6.9000000000000006E-2"/>
    <n v="0"/>
    <x v="0"/>
    <n v="0"/>
    <n v="0"/>
    <n v="15"/>
    <n v="43"/>
    <n v="0"/>
    <n v="609.05999999999995"/>
    <n v="119.97"/>
    <m/>
    <n v="614.27335522224178"/>
    <n v="108.66738728357376"/>
    <n v="0"/>
    <n v="-42.02514"/>
    <n v="-8.2779300000000013"/>
    <n v="0"/>
    <n v="-42.384861510334687"/>
    <n v="-7.4980497225665896"/>
  </r>
  <r>
    <s v="Sistema de Compensação"/>
    <x v="1"/>
    <x v="2"/>
    <x v="3"/>
    <x v="2"/>
    <x v="0"/>
    <x v="0"/>
    <x v="2"/>
    <x v="5"/>
    <n v="0"/>
    <n v="0"/>
    <n v="8.2349999999999994"/>
    <n v="8.2349999999999994"/>
    <n v="8.2349999999999994"/>
    <n v="8.2349999999999994"/>
    <n v="38"/>
    <x v="0"/>
    <n v="0"/>
    <n v="0"/>
    <n v="15"/>
    <n v="43"/>
    <n v="0"/>
    <n v="609.05999999999995"/>
    <n v="119.97"/>
    <m/>
    <n v="614.27335522224178"/>
    <n v="108.66738728357376"/>
    <n v="0"/>
    <n v="5015.6090999999988"/>
    <n v="987.95294999999987"/>
    <n v="0"/>
    <n v="5058.5410802551605"/>
    <n v="894.8759342802299"/>
  </r>
  <r>
    <s v="Regular"/>
    <x v="1"/>
    <x v="2"/>
    <x v="3"/>
    <x v="2"/>
    <x v="0"/>
    <x v="0"/>
    <x v="2"/>
    <x v="6"/>
    <n v="0"/>
    <n v="0"/>
    <n v="772.06100000000004"/>
    <n v="772.06100000000004"/>
    <n v="772.06100000000004"/>
    <n v="772.06100000000004"/>
    <n v="3120"/>
    <x v="0"/>
    <n v="0"/>
    <n v="0"/>
    <n v="15"/>
    <n v="43"/>
    <n v="0"/>
    <n v="609.05999999999995"/>
    <n v="119.97"/>
    <m/>
    <n v="614.27335522224178"/>
    <n v="108.66738728357376"/>
    <n v="0"/>
    <n v="470231.47265999997"/>
    <n v="92624.15817000001"/>
    <n v="0"/>
    <n v="474256.50090623921"/>
    <n v="83897.851693543242"/>
  </r>
  <r>
    <s v="Refaturamento - Regular"/>
    <x v="1"/>
    <x v="2"/>
    <x v="3"/>
    <x v="2"/>
    <x v="0"/>
    <x v="0"/>
    <x v="2"/>
    <x v="6"/>
    <n v="0"/>
    <n v="0"/>
    <n v="-190.22"/>
    <n v="-190.22"/>
    <n v="-190.22"/>
    <n v="-190.22"/>
    <n v="0"/>
    <x v="0"/>
    <n v="0"/>
    <n v="0"/>
    <n v="15"/>
    <n v="43"/>
    <n v="0"/>
    <n v="609.05999999999995"/>
    <n v="119.97"/>
    <m/>
    <n v="614.27335522224178"/>
    <n v="108.66738728357376"/>
    <n v="0"/>
    <n v="-115855.39319999999"/>
    <n v="-22820.6934"/>
    <n v="0"/>
    <n v="-116847.07763037483"/>
    <n v="-20670.710409081399"/>
  </r>
  <r>
    <s v="Sistema de Compensação"/>
    <x v="1"/>
    <x v="2"/>
    <x v="3"/>
    <x v="2"/>
    <x v="0"/>
    <x v="0"/>
    <x v="2"/>
    <x v="6"/>
    <n v="0"/>
    <n v="0"/>
    <n v="10.331"/>
    <n v="10.331"/>
    <n v="10.331"/>
    <n v="10.331"/>
    <n v="42"/>
    <x v="0"/>
    <n v="0"/>
    <n v="0"/>
    <n v="15"/>
    <n v="43"/>
    <n v="0"/>
    <n v="609.05999999999995"/>
    <n v="119.97"/>
    <m/>
    <n v="614.27335522224178"/>
    <n v="108.66738728357376"/>
    <n v="0"/>
    <n v="6292.1988599999995"/>
    <n v="1239.4100699999999"/>
    <n v="0"/>
    <n v="6346.0580328009792"/>
    <n v="1122.6427780266004"/>
  </r>
  <r>
    <s v="Regular"/>
    <x v="1"/>
    <x v="2"/>
    <x v="3"/>
    <x v="2"/>
    <x v="0"/>
    <x v="0"/>
    <x v="2"/>
    <x v="7"/>
    <n v="0"/>
    <n v="0"/>
    <n v="526.52200000000005"/>
    <n v="526.52200000000005"/>
    <n v="526.52200000000005"/>
    <n v="526.52200000000005"/>
    <n v="3111"/>
    <x v="0"/>
    <n v="0"/>
    <n v="0"/>
    <n v="15"/>
    <n v="43"/>
    <n v="0"/>
    <n v="609.05999999999995"/>
    <n v="119.97"/>
    <m/>
    <n v="614.27335522224178"/>
    <n v="108.66738728357376"/>
    <n v="0"/>
    <n v="320683.48931999999"/>
    <n v="63166.844340000003"/>
    <n v="0"/>
    <n v="323428.43553832523"/>
    <n v="57215.770087321827"/>
  </r>
  <r>
    <s v="Refaturamento - Regular"/>
    <x v="1"/>
    <x v="2"/>
    <x v="3"/>
    <x v="2"/>
    <x v="0"/>
    <x v="0"/>
    <x v="2"/>
    <x v="7"/>
    <n v="0"/>
    <n v="0"/>
    <n v="-10.42"/>
    <n v="-10.42"/>
    <n v="-10.42"/>
    <n v="-10.42"/>
    <n v="0"/>
    <x v="0"/>
    <n v="0"/>
    <n v="0"/>
    <n v="15"/>
    <n v="43"/>
    <n v="0"/>
    <n v="609.05999999999995"/>
    <n v="119.97"/>
    <m/>
    <n v="614.27335522224178"/>
    <n v="108.66738728357376"/>
    <n v="0"/>
    <n v="-6346.4051999999992"/>
    <n v="-1250.0873999999999"/>
    <n v="0"/>
    <n v="-6400.7283614157595"/>
    <n v="-1132.3141754948385"/>
  </r>
  <r>
    <s v="Sistema de Compensação"/>
    <x v="1"/>
    <x v="2"/>
    <x v="3"/>
    <x v="2"/>
    <x v="0"/>
    <x v="0"/>
    <x v="2"/>
    <x v="7"/>
    <n v="0"/>
    <n v="0"/>
    <n v="6.2670000000000003"/>
    <n v="6.2670000000000003"/>
    <n v="6.2670000000000003"/>
    <n v="6.2670000000000003"/>
    <n v="45"/>
    <x v="0"/>
    <n v="0"/>
    <n v="0"/>
    <n v="15"/>
    <n v="43"/>
    <n v="0"/>
    <n v="609.05999999999995"/>
    <n v="119.97"/>
    <m/>
    <n v="614.27335522224178"/>
    <n v="108.66738728357376"/>
    <n v="0"/>
    <n v="3816.9790199999998"/>
    <n v="751.85199"/>
    <n v="0"/>
    <n v="3849.6511171777893"/>
    <n v="681.01851610615677"/>
  </r>
  <r>
    <s v="Regular"/>
    <x v="1"/>
    <x v="2"/>
    <x v="3"/>
    <x v="2"/>
    <x v="0"/>
    <x v="0"/>
    <x v="2"/>
    <x v="8"/>
    <n v="0"/>
    <n v="0"/>
    <n v="480.74400000000003"/>
    <n v="480.74400000000003"/>
    <n v="480.74400000000003"/>
    <n v="480.74400000000003"/>
    <n v="3096"/>
    <x v="0"/>
    <n v="0"/>
    <n v="0"/>
    <n v="15"/>
    <n v="43"/>
    <n v="0"/>
    <n v="609.05999999999995"/>
    <n v="119.97"/>
    <m/>
    <n v="614.27335522224178"/>
    <n v="108.66738728357376"/>
    <n v="0"/>
    <n v="292801.94063999999"/>
    <n v="57674.857680000001"/>
    <n v="0"/>
    <n v="295308.22988296143"/>
    <n v="52241.194432254386"/>
  </r>
  <r>
    <s v="Sistema de Compensação"/>
    <x v="1"/>
    <x v="2"/>
    <x v="3"/>
    <x v="2"/>
    <x v="0"/>
    <x v="0"/>
    <x v="2"/>
    <x v="8"/>
    <n v="0"/>
    <n v="0"/>
    <n v="7.4240000000000004"/>
    <n v="7.4240000000000004"/>
    <n v="7.4240000000000004"/>
    <n v="7.4240000000000004"/>
    <n v="48"/>
    <x v="0"/>
    <n v="0"/>
    <n v="0"/>
    <n v="15"/>
    <n v="43"/>
    <n v="0"/>
    <n v="609.05999999999995"/>
    <n v="119.97"/>
    <m/>
    <n v="614.27335522224178"/>
    <n v="108.66738728357376"/>
    <n v="0"/>
    <n v="4521.6614399999999"/>
    <n v="890.65728000000001"/>
    <n v="0"/>
    <n v="4560.3653891699232"/>
    <n v="806.74668319325167"/>
  </r>
  <r>
    <s v="Regular"/>
    <x v="1"/>
    <x v="2"/>
    <x v="3"/>
    <x v="2"/>
    <x v="0"/>
    <x v="0"/>
    <x v="2"/>
    <x v="9"/>
    <n v="0"/>
    <n v="0"/>
    <n v="660.55600000000004"/>
    <n v="660.55600000000004"/>
    <n v="660.55600000000004"/>
    <n v="660.55600000000004"/>
    <n v="3096"/>
    <x v="0"/>
    <n v="0"/>
    <n v="0"/>
    <n v="15"/>
    <n v="43"/>
    <n v="0"/>
    <n v="609.05999999999995"/>
    <n v="119.97"/>
    <m/>
    <n v="614.27335522224178"/>
    <n v="108.66738728357376"/>
    <n v="0"/>
    <n v="402318.23735999997"/>
    <n v="79246.903319999998"/>
    <n v="0"/>
    <n v="405761.95043218316"/>
    <n v="71780.894674488358"/>
  </r>
  <r>
    <s v="Refaturamento - Regular"/>
    <x v="1"/>
    <x v="2"/>
    <x v="3"/>
    <x v="2"/>
    <x v="0"/>
    <x v="0"/>
    <x v="2"/>
    <x v="9"/>
    <n v="0"/>
    <n v="0"/>
    <n v="-100.9"/>
    <n v="-100.9"/>
    <n v="-100.9"/>
    <n v="-100.9"/>
    <n v="0"/>
    <x v="0"/>
    <n v="0"/>
    <n v="0"/>
    <n v="15"/>
    <n v="43"/>
    <n v="0"/>
    <n v="609.05999999999995"/>
    <n v="119.97"/>
    <m/>
    <n v="614.27335522224178"/>
    <n v="108.66738728357376"/>
    <n v="0"/>
    <n v="-61454.153999999995"/>
    <n v="-12104.973"/>
    <n v="0"/>
    <n v="-61980.181541924198"/>
    <n v="-10964.539376912593"/>
  </r>
  <r>
    <s v="Sistema de Compensação"/>
    <x v="1"/>
    <x v="2"/>
    <x v="3"/>
    <x v="2"/>
    <x v="0"/>
    <x v="0"/>
    <x v="2"/>
    <x v="9"/>
    <n v="0"/>
    <n v="0"/>
    <n v="14.672000000000001"/>
    <n v="14.672000000000001"/>
    <n v="14.672000000000001"/>
    <n v="14.672000000000001"/>
    <n v="54"/>
    <x v="0"/>
    <n v="0"/>
    <n v="0"/>
    <n v="15"/>
    <n v="43"/>
    <n v="0"/>
    <n v="609.05999999999995"/>
    <n v="119.97"/>
    <m/>
    <n v="614.27335522224178"/>
    <n v="108.66738728357376"/>
    <n v="0"/>
    <n v="8936.1283199999998"/>
    <n v="1760.19984"/>
    <n v="0"/>
    <n v="9012.6186678207323"/>
    <n v="1594.3679062245942"/>
  </r>
  <r>
    <s v="Regular"/>
    <x v="1"/>
    <x v="2"/>
    <x v="3"/>
    <x v="2"/>
    <x v="0"/>
    <x v="0"/>
    <x v="2"/>
    <x v="10"/>
    <n v="0"/>
    <n v="0"/>
    <n v="581.66600000000005"/>
    <n v="581.66600000000005"/>
    <n v="581.66600000000005"/>
    <n v="581.66600000000005"/>
    <n v="3095"/>
    <x v="0"/>
    <n v="0"/>
    <n v="0"/>
    <n v="15"/>
    <n v="43"/>
    <n v="0"/>
    <n v="609.05999999999995"/>
    <n v="119.97"/>
    <m/>
    <n v="614.27335522224178"/>
    <n v="108.66738728357376"/>
    <n v="0"/>
    <n v="354269.49395999999"/>
    <n v="69782.470020000008"/>
    <n v="0"/>
    <n v="357301.92543870053"/>
    <n v="63208.124491687224"/>
  </r>
  <r>
    <s v="Refaturamento - Regular"/>
    <x v="1"/>
    <x v="2"/>
    <x v="3"/>
    <x v="2"/>
    <x v="0"/>
    <x v="0"/>
    <x v="2"/>
    <x v="10"/>
    <n v="0"/>
    <n v="0"/>
    <n v="-3.3650000000000002"/>
    <n v="-3.3650000000000002"/>
    <n v="-3.3650000000000002"/>
    <n v="-3.3650000000000002"/>
    <n v="0"/>
    <x v="0"/>
    <n v="0"/>
    <n v="0"/>
    <n v="15"/>
    <n v="43"/>
    <n v="0"/>
    <n v="609.05999999999995"/>
    <n v="119.97"/>
    <m/>
    <n v="614.27335522224178"/>
    <n v="108.66738728357376"/>
    <n v="0"/>
    <n v="-2049.4868999999999"/>
    <n v="-403.69905"/>
    <n v="0"/>
    <n v="-2067.0298403228435"/>
    <n v="-365.66575820922571"/>
  </r>
  <r>
    <s v="Sistema de Compensação"/>
    <x v="1"/>
    <x v="2"/>
    <x v="3"/>
    <x v="2"/>
    <x v="0"/>
    <x v="0"/>
    <x v="2"/>
    <x v="10"/>
    <n v="0"/>
    <n v="0"/>
    <n v="10.53"/>
    <n v="10.53"/>
    <n v="10.53"/>
    <n v="10.53"/>
    <n v="57"/>
    <x v="0"/>
    <n v="0"/>
    <n v="0"/>
    <n v="15"/>
    <n v="43"/>
    <n v="0"/>
    <n v="609.05999999999995"/>
    <n v="119.97"/>
    <m/>
    <n v="614.27335522224178"/>
    <n v="108.66738728357376"/>
    <n v="0"/>
    <n v="6413.4017999999987"/>
    <n v="1263.2840999999999"/>
    <n v="0"/>
    <n v="6468.2984304902056"/>
    <n v="1144.2675880960317"/>
  </r>
  <r>
    <s v="PROJETADO"/>
    <x v="1"/>
    <x v="2"/>
    <x v="3"/>
    <x v="2"/>
    <x v="0"/>
    <x v="0"/>
    <x v="2"/>
    <x v="11"/>
    <n v="0"/>
    <n v="0"/>
    <n v="581.66600000000005"/>
    <n v="581.66600000000005"/>
    <n v="581.66600000000005"/>
    <n v="581.66600000000005"/>
    <n v="3095"/>
    <x v="0"/>
    <n v="0"/>
    <n v="0"/>
    <n v="15"/>
    <n v="43"/>
    <n v="0"/>
    <n v="609.05999999999995"/>
    <n v="119.97"/>
    <m/>
    <n v="614.27335522224178"/>
    <n v="108.66738728357376"/>
    <n v="0"/>
    <n v="354269.49395999999"/>
    <n v="69782.470020000008"/>
    <n v="0"/>
    <n v="357301.92543870053"/>
    <n v="63208.124491687224"/>
  </r>
  <r>
    <s v="PROJETADO"/>
    <x v="1"/>
    <x v="2"/>
    <x v="3"/>
    <x v="2"/>
    <x v="0"/>
    <x v="0"/>
    <x v="2"/>
    <x v="11"/>
    <n v="0"/>
    <n v="0"/>
    <n v="-3.3650000000000002"/>
    <n v="-3.3650000000000002"/>
    <n v="-3.3650000000000002"/>
    <n v="-3.3650000000000002"/>
    <n v="0"/>
    <x v="0"/>
    <n v="0"/>
    <n v="0"/>
    <n v="15"/>
    <n v="43"/>
    <n v="0"/>
    <n v="609.05999999999995"/>
    <n v="119.97"/>
    <m/>
    <n v="614.27335522224178"/>
    <n v="108.66738728357376"/>
    <n v="0"/>
    <n v="-2049.4868999999999"/>
    <n v="-403.69905"/>
    <n v="0"/>
    <n v="-2067.0298403228435"/>
    <n v="-365.66575820922571"/>
  </r>
  <r>
    <s v="PROJETADO"/>
    <x v="1"/>
    <x v="2"/>
    <x v="3"/>
    <x v="2"/>
    <x v="0"/>
    <x v="0"/>
    <x v="2"/>
    <x v="11"/>
    <n v="0"/>
    <n v="0"/>
    <n v="10.53"/>
    <n v="10.53"/>
    <n v="10.53"/>
    <n v="10.53"/>
    <n v="57"/>
    <x v="0"/>
    <n v="0"/>
    <n v="0"/>
    <n v="15"/>
    <n v="43"/>
    <n v="0"/>
    <n v="609.05999999999995"/>
    <n v="119.97"/>
    <m/>
    <n v="614.27335522224178"/>
    <n v="108.66738728357376"/>
    <n v="0"/>
    <n v="6413.4017999999987"/>
    <n v="1263.2840999999999"/>
    <n v="0"/>
    <n v="6468.2984304902056"/>
    <n v="1144.2675880960317"/>
  </r>
  <r>
    <s v="Regular"/>
    <x v="1"/>
    <x v="2"/>
    <x v="3"/>
    <x v="3"/>
    <x v="0"/>
    <x v="0"/>
    <x v="2"/>
    <x v="0"/>
    <n v="0"/>
    <n v="0"/>
    <n v="3.93"/>
    <n v="3.93"/>
    <n v="3.93"/>
    <n v="3.93"/>
    <n v="13"/>
    <x v="0"/>
    <n v="0"/>
    <n v="0"/>
    <n v="2"/>
    <n v="38"/>
    <n v="0"/>
    <n v="190.95"/>
    <n v="41.99"/>
    <m/>
    <n v="178.66977427950042"/>
    <n v="38.033585549250816"/>
    <n v="0"/>
    <n v="750.43349999999998"/>
    <n v="165.02070000000001"/>
    <n v="0"/>
    <n v="702.17221291843668"/>
    <n v="149.47199120855572"/>
  </r>
  <r>
    <s v="Regular"/>
    <x v="1"/>
    <x v="2"/>
    <x v="3"/>
    <x v="3"/>
    <x v="0"/>
    <x v="0"/>
    <x v="2"/>
    <x v="1"/>
    <n v="0"/>
    <n v="0"/>
    <n v="4.05"/>
    <n v="4.05"/>
    <n v="4.05"/>
    <n v="4.05"/>
    <n v="7"/>
    <x v="0"/>
    <n v="0"/>
    <n v="0"/>
    <n v="2"/>
    <n v="38"/>
    <n v="0"/>
    <n v="190.95"/>
    <n v="41.99"/>
    <m/>
    <n v="178.66977427950042"/>
    <n v="38.033585549250816"/>
    <n v="0"/>
    <n v="773.34749999999997"/>
    <n v="170.05950000000001"/>
    <n v="0"/>
    <n v="723.61258583197662"/>
    <n v="154.0360214744658"/>
  </r>
  <r>
    <s v="Regular"/>
    <x v="1"/>
    <x v="2"/>
    <x v="3"/>
    <x v="3"/>
    <x v="0"/>
    <x v="0"/>
    <x v="2"/>
    <x v="2"/>
    <n v="0"/>
    <n v="0"/>
    <n v="4.08"/>
    <n v="4.08"/>
    <n v="4.08"/>
    <n v="4.08"/>
    <n v="7"/>
    <x v="0"/>
    <n v="0"/>
    <n v="0"/>
    <n v="2"/>
    <n v="38"/>
    <n v="0"/>
    <n v="190.95"/>
    <n v="41.99"/>
    <m/>
    <n v="178.66977427950042"/>
    <n v="38.033585549250816"/>
    <n v="0"/>
    <n v="779.07600000000002"/>
    <n v="171.31920000000002"/>
    <n v="0"/>
    <n v="728.97267906036166"/>
    <n v="155.17702904094332"/>
  </r>
  <r>
    <s v="Regular"/>
    <x v="1"/>
    <x v="2"/>
    <x v="3"/>
    <x v="3"/>
    <x v="0"/>
    <x v="0"/>
    <x v="2"/>
    <x v="3"/>
    <n v="0"/>
    <n v="0"/>
    <n v="4.17"/>
    <n v="4.17"/>
    <n v="4.17"/>
    <n v="4.17"/>
    <n v="7"/>
    <x v="0"/>
    <n v="0"/>
    <n v="0"/>
    <n v="2"/>
    <n v="38"/>
    <n v="0"/>
    <n v="190.95"/>
    <n v="41.99"/>
    <m/>
    <n v="178.66977427950042"/>
    <n v="38.033585549250816"/>
    <n v="0"/>
    <n v="796.26149999999996"/>
    <n v="175.09829999999999"/>
    <n v="0"/>
    <n v="745.05295874551678"/>
    <n v="158.6000517403759"/>
  </r>
  <r>
    <s v="Regular"/>
    <x v="1"/>
    <x v="2"/>
    <x v="3"/>
    <x v="3"/>
    <x v="0"/>
    <x v="0"/>
    <x v="2"/>
    <x v="4"/>
    <n v="0"/>
    <n v="0"/>
    <n v="4.2300000000000004"/>
    <n v="4.2300000000000004"/>
    <n v="4.2300000000000004"/>
    <n v="4.2300000000000004"/>
    <n v="10"/>
    <x v="0"/>
    <n v="0"/>
    <n v="0"/>
    <n v="2"/>
    <n v="38"/>
    <n v="0"/>
    <n v="190.95"/>
    <n v="41.99"/>
    <m/>
    <n v="178.66977427950042"/>
    <n v="38.033585549250816"/>
    <n v="0"/>
    <n v="807.71850000000006"/>
    <n v="177.61770000000001"/>
    <n v="0"/>
    <n v="755.77314520228686"/>
    <n v="160.88206687333096"/>
  </r>
  <r>
    <s v="Regular"/>
    <x v="1"/>
    <x v="2"/>
    <x v="3"/>
    <x v="3"/>
    <x v="0"/>
    <x v="0"/>
    <x v="2"/>
    <x v="5"/>
    <n v="0"/>
    <n v="0"/>
    <n v="4.41"/>
    <n v="4.41"/>
    <n v="4.41"/>
    <n v="4.41"/>
    <n v="7"/>
    <x v="0"/>
    <n v="0"/>
    <n v="0"/>
    <n v="2"/>
    <n v="38"/>
    <n v="0"/>
    <n v="190.95"/>
    <n v="41.99"/>
    <m/>
    <n v="178.66977427950042"/>
    <n v="38.033585549250816"/>
    <n v="0"/>
    <n v="842.08949999999993"/>
    <n v="185.17590000000001"/>
    <n v="0"/>
    <n v="787.93370457259687"/>
    <n v="167.72811227219611"/>
  </r>
  <r>
    <s v="Regular"/>
    <x v="1"/>
    <x v="2"/>
    <x v="3"/>
    <x v="3"/>
    <x v="0"/>
    <x v="0"/>
    <x v="2"/>
    <x v="6"/>
    <n v="0"/>
    <n v="0"/>
    <n v="4.53"/>
    <n v="4.53"/>
    <n v="4.53"/>
    <n v="4.53"/>
    <n v="9"/>
    <x v="0"/>
    <n v="0"/>
    <n v="0"/>
    <n v="2"/>
    <n v="38"/>
    <n v="0"/>
    <n v="190.95"/>
    <n v="41.99"/>
    <m/>
    <n v="178.66977427950042"/>
    <n v="38.033585549250816"/>
    <n v="0"/>
    <n v="865.00350000000003"/>
    <n v="190.21470000000002"/>
    <n v="0"/>
    <n v="809.37407748613691"/>
    <n v="172.29214253810622"/>
  </r>
  <r>
    <s v="Refaturamento - Regular"/>
    <x v="1"/>
    <x v="2"/>
    <x v="3"/>
    <x v="3"/>
    <x v="0"/>
    <x v="0"/>
    <x v="2"/>
    <x v="6"/>
    <n v="0"/>
    <n v="0"/>
    <n v="0.03"/>
    <n v="0.03"/>
    <n v="0.03"/>
    <n v="0.03"/>
    <n v="0"/>
    <x v="0"/>
    <n v="0"/>
    <n v="0"/>
    <n v="2"/>
    <n v="38"/>
    <n v="0"/>
    <n v="190.95"/>
    <n v="41.99"/>
    <m/>
    <n v="178.66977427950042"/>
    <n v="38.033585549250816"/>
    <n v="0"/>
    <n v="5.7284999999999995"/>
    <n v="1.2597"/>
    <n v="0"/>
    <n v="5.3600932283850122"/>
    <n v="1.1410075664775243"/>
  </r>
  <r>
    <s v="Regular"/>
    <x v="1"/>
    <x v="2"/>
    <x v="3"/>
    <x v="3"/>
    <x v="0"/>
    <x v="0"/>
    <x v="2"/>
    <x v="7"/>
    <n v="0"/>
    <n v="0"/>
    <n v="5.19"/>
    <n v="5.19"/>
    <n v="5.19"/>
    <n v="5.19"/>
    <n v="13"/>
    <x v="0"/>
    <n v="0"/>
    <n v="0"/>
    <n v="2"/>
    <n v="38"/>
    <n v="0"/>
    <n v="190.95"/>
    <n v="41.99"/>
    <m/>
    <n v="178.66977427950042"/>
    <n v="38.033585549250816"/>
    <n v="0"/>
    <n v="991.03049999999996"/>
    <n v="217.92810000000003"/>
    <n v="0"/>
    <n v="927.29612851060722"/>
    <n v="197.39430900061174"/>
  </r>
  <r>
    <s v="Regular"/>
    <x v="1"/>
    <x v="2"/>
    <x v="3"/>
    <x v="3"/>
    <x v="0"/>
    <x v="0"/>
    <x v="2"/>
    <x v="8"/>
    <n v="0"/>
    <n v="0"/>
    <n v="5.58"/>
    <n v="5.58"/>
    <n v="5.58"/>
    <n v="5.58"/>
    <n v="15"/>
    <x v="0"/>
    <n v="0"/>
    <n v="0"/>
    <n v="2"/>
    <n v="38"/>
    <n v="0"/>
    <n v="190.95"/>
    <n v="41.99"/>
    <m/>
    <n v="178.66977427950042"/>
    <n v="38.033585549250816"/>
    <n v="0"/>
    <n v="1065.501"/>
    <n v="234.30420000000001"/>
    <n v="0"/>
    <n v="996.97734047961228"/>
    <n v="212.22740736481956"/>
  </r>
  <r>
    <s v="Regular"/>
    <x v="1"/>
    <x v="2"/>
    <x v="3"/>
    <x v="3"/>
    <x v="0"/>
    <x v="0"/>
    <x v="2"/>
    <x v="9"/>
    <n v="0"/>
    <n v="0"/>
    <n v="5.58"/>
    <n v="5.58"/>
    <n v="5.58"/>
    <n v="5.58"/>
    <n v="14"/>
    <x v="0"/>
    <n v="0"/>
    <n v="0"/>
    <n v="2"/>
    <n v="38"/>
    <n v="0"/>
    <n v="190.95"/>
    <n v="41.99"/>
    <m/>
    <n v="178.66977427950042"/>
    <n v="38.033585549250816"/>
    <n v="0"/>
    <n v="1065.501"/>
    <n v="234.30420000000001"/>
    <n v="0"/>
    <n v="996.97734047961228"/>
    <n v="212.22740736481956"/>
  </r>
  <r>
    <s v="Regular"/>
    <x v="1"/>
    <x v="2"/>
    <x v="3"/>
    <x v="3"/>
    <x v="0"/>
    <x v="0"/>
    <x v="2"/>
    <x v="10"/>
    <n v="0"/>
    <n v="0"/>
    <n v="5.52"/>
    <n v="5.52"/>
    <n v="5.52"/>
    <n v="5.52"/>
    <n v="12"/>
    <x v="0"/>
    <n v="0"/>
    <n v="0"/>
    <n v="2"/>
    <n v="38"/>
    <n v="0"/>
    <n v="190.95"/>
    <n v="41.99"/>
    <m/>
    <n v="178.66977427950042"/>
    <n v="38.033585549250816"/>
    <n v="0"/>
    <n v="1054.0439999999999"/>
    <n v="231.78479999999999"/>
    <n v="0"/>
    <n v="986.2571540228422"/>
    <n v="209.94539223186447"/>
  </r>
  <r>
    <s v="PROJETADO"/>
    <x v="1"/>
    <x v="2"/>
    <x v="3"/>
    <x v="3"/>
    <x v="0"/>
    <x v="0"/>
    <x v="2"/>
    <x v="11"/>
    <n v="0"/>
    <n v="0"/>
    <n v="5.52"/>
    <n v="5.52"/>
    <n v="5.52"/>
    <n v="5.52"/>
    <n v="12"/>
    <x v="0"/>
    <n v="0"/>
    <n v="0"/>
    <n v="2"/>
    <n v="38"/>
    <n v="0"/>
    <n v="190.95"/>
    <n v="41.99"/>
    <m/>
    <n v="178.66977427950042"/>
    <n v="38.033585549250816"/>
    <n v="0"/>
    <n v="1054.0439999999999"/>
    <n v="231.78479999999999"/>
    <n v="0"/>
    <n v="986.2571540228422"/>
    <n v="209.94539223186447"/>
  </r>
  <r>
    <s v="Regular"/>
    <x v="1"/>
    <x v="2"/>
    <x v="3"/>
    <x v="4"/>
    <x v="0"/>
    <x v="0"/>
    <x v="2"/>
    <x v="0"/>
    <n v="0"/>
    <n v="0"/>
    <n v="7.4210000000000003"/>
    <n v="7.4210000000000003"/>
    <n v="7.4210000000000003"/>
    <n v="7.4210000000000003"/>
    <n v="28"/>
    <x v="0"/>
    <n v="0"/>
    <n v="0"/>
    <n v="4"/>
    <n v="55"/>
    <n v="0"/>
    <n v="327.33999999999997"/>
    <n v="71.98"/>
    <m/>
    <n v="306.29104162200071"/>
    <n v="65.200432370144256"/>
    <n v="0"/>
    <n v="2429.1901399999997"/>
    <n v="534.16358000000002"/>
    <n v="0"/>
    <n v="2272.9858198768675"/>
    <n v="483.85240861884051"/>
  </r>
  <r>
    <s v="Regular"/>
    <x v="1"/>
    <x v="2"/>
    <x v="3"/>
    <x v="4"/>
    <x v="0"/>
    <x v="0"/>
    <x v="2"/>
    <x v="1"/>
    <n v="0"/>
    <n v="0"/>
    <n v="8.0079999999999991"/>
    <n v="8.0079999999999991"/>
    <n v="8.0079999999999991"/>
    <n v="8.0079999999999991"/>
    <n v="30"/>
    <x v="0"/>
    <n v="0"/>
    <n v="0"/>
    <n v="4"/>
    <n v="55"/>
    <n v="0"/>
    <n v="327.33999999999997"/>
    <n v="71.98"/>
    <m/>
    <n v="306.29104162200071"/>
    <n v="65.200432370144256"/>
    <n v="0"/>
    <n v="2621.3387199999993"/>
    <n v="576.41584"/>
    <n v="0"/>
    <n v="2452.7786613089816"/>
    <n v="522.12506242011511"/>
  </r>
  <r>
    <s v="Regular"/>
    <x v="1"/>
    <x v="2"/>
    <x v="3"/>
    <x v="4"/>
    <x v="0"/>
    <x v="0"/>
    <x v="2"/>
    <x v="2"/>
    <n v="0"/>
    <n v="0"/>
    <n v="8.048"/>
    <n v="8.048"/>
    <n v="8.048"/>
    <n v="8.048"/>
    <n v="31"/>
    <x v="0"/>
    <n v="0"/>
    <n v="0"/>
    <n v="4"/>
    <n v="55"/>
    <n v="0"/>
    <n v="327.33999999999997"/>
    <n v="71.98"/>
    <m/>
    <n v="306.29104162200071"/>
    <n v="65.200432370144256"/>
    <n v="0"/>
    <n v="2634.4323199999999"/>
    <n v="579.29504000000009"/>
    <n v="0"/>
    <n v="2465.0303029738616"/>
    <n v="524.73307971492102"/>
  </r>
  <r>
    <s v="Regular"/>
    <x v="1"/>
    <x v="2"/>
    <x v="3"/>
    <x v="4"/>
    <x v="0"/>
    <x v="0"/>
    <x v="2"/>
    <x v="3"/>
    <n v="0"/>
    <n v="0"/>
    <n v="8.4770000000000003"/>
    <n v="8.4770000000000003"/>
    <n v="8.4770000000000003"/>
    <n v="8.4770000000000003"/>
    <n v="27"/>
    <x v="0"/>
    <n v="0"/>
    <n v="0"/>
    <n v="4"/>
    <n v="55"/>
    <n v="0"/>
    <n v="327.33999999999997"/>
    <n v="71.98"/>
    <m/>
    <n v="306.29104162200071"/>
    <n v="65.200432370144256"/>
    <n v="0"/>
    <n v="2774.8611799999999"/>
    <n v="610.17446000000007"/>
    <n v="0"/>
    <n v="2596.4291598297"/>
    <n v="552.70406520171287"/>
  </r>
  <r>
    <s v="Regular"/>
    <x v="1"/>
    <x v="2"/>
    <x v="3"/>
    <x v="4"/>
    <x v="0"/>
    <x v="0"/>
    <x v="2"/>
    <x v="4"/>
    <n v="0"/>
    <n v="0"/>
    <n v="8.7029999999999994"/>
    <n v="8.7029999999999994"/>
    <n v="8.7029999999999994"/>
    <n v="8.7029999999999994"/>
    <n v="23"/>
    <x v="0"/>
    <n v="0"/>
    <n v="0"/>
    <n v="4"/>
    <n v="55"/>
    <n v="0"/>
    <n v="327.33999999999997"/>
    <n v="71.98"/>
    <m/>
    <n v="306.29104162200071"/>
    <n v="65.200432370144256"/>
    <n v="0"/>
    <n v="2848.8400199999996"/>
    <n v="626.44194000000005"/>
    <n v="0"/>
    <n v="2665.6509352362718"/>
    <n v="567.43936291736543"/>
  </r>
  <r>
    <s v="Regular"/>
    <x v="1"/>
    <x v="2"/>
    <x v="3"/>
    <x v="4"/>
    <x v="0"/>
    <x v="0"/>
    <x v="2"/>
    <x v="5"/>
    <n v="0"/>
    <n v="0"/>
    <n v="9.3819999999999997"/>
    <n v="9.3819999999999997"/>
    <n v="9.3819999999999997"/>
    <n v="9.3819999999999997"/>
    <n v="17"/>
    <x v="0"/>
    <n v="0"/>
    <n v="0"/>
    <n v="4"/>
    <n v="55"/>
    <n v="0"/>
    <n v="327.33999999999997"/>
    <n v="71.98"/>
    <m/>
    <n v="306.29104162200071"/>
    <n v="65.200432370144256"/>
    <n v="0"/>
    <n v="3071.1038799999997"/>
    <n v="675.31636000000003"/>
    <n v="0"/>
    <n v="2873.6225524976107"/>
    <n v="611.71045649669338"/>
  </r>
  <r>
    <s v="Regular"/>
    <x v="1"/>
    <x v="2"/>
    <x v="3"/>
    <x v="4"/>
    <x v="0"/>
    <x v="0"/>
    <x v="2"/>
    <x v="6"/>
    <n v="0"/>
    <n v="0"/>
    <n v="9.3979999999999997"/>
    <n v="9.3979999999999997"/>
    <n v="9.3979999999999997"/>
    <n v="9.3979999999999997"/>
    <n v="20"/>
    <x v="0"/>
    <n v="0"/>
    <n v="0"/>
    <n v="4"/>
    <n v="55"/>
    <n v="0"/>
    <n v="327.33999999999997"/>
    <n v="71.98"/>
    <m/>
    <n v="306.29104162200071"/>
    <n v="65.200432370144256"/>
    <n v="0"/>
    <n v="3076.3413199999995"/>
    <n v="676.46803999999997"/>
    <n v="0"/>
    <n v="2878.5232091635626"/>
    <n v="612.75366341461574"/>
  </r>
  <r>
    <s v="Refaturamento - Regular"/>
    <x v="1"/>
    <x v="2"/>
    <x v="3"/>
    <x v="4"/>
    <x v="0"/>
    <x v="0"/>
    <x v="2"/>
    <x v="6"/>
    <n v="0"/>
    <n v="0"/>
    <n v="7.0000000000000007E-2"/>
    <n v="7.0000000000000007E-2"/>
    <n v="7.0000000000000007E-2"/>
    <n v="7.0000000000000007E-2"/>
    <n v="0"/>
    <x v="0"/>
    <n v="0"/>
    <n v="0"/>
    <n v="4"/>
    <n v="55"/>
    <n v="0"/>
    <n v="327.33999999999997"/>
    <n v="71.98"/>
    <m/>
    <n v="306.29104162200071"/>
    <n v="65.200432370144256"/>
    <n v="0"/>
    <n v="22.913800000000002"/>
    <n v="5.0386000000000006"/>
    <n v="0"/>
    <n v="21.440372913540052"/>
    <n v="4.5640302659100982"/>
  </r>
  <r>
    <s v="Regular"/>
    <x v="1"/>
    <x v="2"/>
    <x v="3"/>
    <x v="4"/>
    <x v="0"/>
    <x v="0"/>
    <x v="2"/>
    <x v="7"/>
    <n v="0"/>
    <n v="0"/>
    <n v="10.208"/>
    <n v="10.208"/>
    <n v="10.208"/>
    <n v="10.208"/>
    <n v="32"/>
    <x v="0"/>
    <n v="0"/>
    <n v="0"/>
    <n v="4"/>
    <n v="55"/>
    <n v="0"/>
    <n v="327.33999999999997"/>
    <n v="71.98"/>
    <m/>
    <n v="306.29104162200071"/>
    <n v="65.200432370144256"/>
    <n v="0"/>
    <n v="3341.4867199999999"/>
    <n v="734.77184"/>
    <n v="0"/>
    <n v="3126.6189528773834"/>
    <n v="665.56601363443258"/>
  </r>
  <r>
    <s v="Regular"/>
    <x v="1"/>
    <x v="2"/>
    <x v="3"/>
    <x v="4"/>
    <x v="0"/>
    <x v="0"/>
    <x v="2"/>
    <x v="8"/>
    <n v="0"/>
    <n v="0"/>
    <n v="11.129"/>
    <n v="11.129"/>
    <n v="11.129"/>
    <n v="11.129"/>
    <n v="31"/>
    <x v="0"/>
    <n v="0"/>
    <n v="0"/>
    <n v="4"/>
    <n v="55"/>
    <n v="0"/>
    <n v="327.33999999999997"/>
    <n v="71.98"/>
    <m/>
    <n v="306.29104162200071"/>
    <n v="65.200432370144256"/>
    <n v="0"/>
    <n v="3642.9668599999995"/>
    <n v="801.06542000000002"/>
    <n v="0"/>
    <n v="3408.7130022112456"/>
    <n v="725.61561184733534"/>
  </r>
  <r>
    <s v="Regular"/>
    <x v="1"/>
    <x v="2"/>
    <x v="3"/>
    <x v="4"/>
    <x v="0"/>
    <x v="0"/>
    <x v="2"/>
    <x v="9"/>
    <n v="0"/>
    <n v="0"/>
    <n v="11.378"/>
    <n v="11.378"/>
    <n v="11.378"/>
    <n v="11.378"/>
    <n v="27"/>
    <x v="0"/>
    <n v="0"/>
    <n v="0"/>
    <n v="4"/>
    <n v="55"/>
    <n v="0"/>
    <n v="327.33999999999997"/>
    <n v="71.98"/>
    <m/>
    <n v="306.29104162200071"/>
    <n v="65.200432370144256"/>
    <n v="0"/>
    <n v="3724.4745199999998"/>
    <n v="818.98844000000008"/>
    <n v="0"/>
    <n v="3484.9794715751241"/>
    <n v="741.8505195075013"/>
  </r>
  <r>
    <s v="Regular"/>
    <x v="1"/>
    <x v="2"/>
    <x v="3"/>
    <x v="4"/>
    <x v="0"/>
    <x v="0"/>
    <x v="2"/>
    <x v="10"/>
    <n v="0"/>
    <n v="0"/>
    <n v="11.169"/>
    <n v="11.169"/>
    <n v="11.169"/>
    <n v="11.169"/>
    <n v="32"/>
    <x v="0"/>
    <n v="0"/>
    <n v="0"/>
    <n v="4"/>
    <n v="55"/>
    <n v="0"/>
    <n v="327.33999999999997"/>
    <n v="71.98"/>
    <m/>
    <n v="306.29104162200071"/>
    <n v="65.200432370144256"/>
    <n v="0"/>
    <n v="3656.0604599999997"/>
    <n v="803.9446200000001"/>
    <n v="0"/>
    <n v="3420.964643876126"/>
    <n v="728.22362914214125"/>
  </r>
  <r>
    <s v="PROJETADO"/>
    <x v="1"/>
    <x v="2"/>
    <x v="3"/>
    <x v="4"/>
    <x v="0"/>
    <x v="0"/>
    <x v="2"/>
    <x v="11"/>
    <n v="0"/>
    <n v="0"/>
    <n v="11.169"/>
    <n v="11.169"/>
    <n v="11.169"/>
    <n v="11.169"/>
    <n v="32"/>
    <x v="0"/>
    <n v="0"/>
    <n v="0"/>
    <n v="4"/>
    <n v="55"/>
    <n v="0"/>
    <n v="327.33999999999997"/>
    <n v="71.98"/>
    <m/>
    <n v="306.29104162200071"/>
    <n v="65.200432370144256"/>
    <n v="0"/>
    <n v="3656.0604599999997"/>
    <n v="803.9446200000001"/>
    <n v="0"/>
    <n v="3420.964643876126"/>
    <n v="728.22362914214125"/>
  </r>
  <r>
    <s v="Regular"/>
    <x v="1"/>
    <x v="2"/>
    <x v="3"/>
    <x v="5"/>
    <x v="0"/>
    <x v="0"/>
    <x v="2"/>
    <x v="0"/>
    <n v="0"/>
    <n v="0"/>
    <n v="6.57"/>
    <n v="6.57"/>
    <n v="6.57"/>
    <n v="6.57"/>
    <n v="64"/>
    <x v="0"/>
    <n v="0"/>
    <n v="0"/>
    <n v="7"/>
    <n v="63"/>
    <n v="0"/>
    <n v="491.01"/>
    <n v="107.98"/>
    <m/>
    <n v="459.43656243300109"/>
    <n v="97.800648555216384"/>
    <n v="0"/>
    <n v="3225.9357"/>
    <n v="709.42860000000007"/>
    <n v="0"/>
    <n v="3018.4982151848171"/>
    <n v="642.55026100777172"/>
  </r>
  <r>
    <s v="Regular"/>
    <x v="1"/>
    <x v="2"/>
    <x v="3"/>
    <x v="5"/>
    <x v="0"/>
    <x v="0"/>
    <x v="2"/>
    <x v="1"/>
    <n v="0"/>
    <n v="0"/>
    <n v="8.2279999999999998"/>
    <n v="8.2279999999999998"/>
    <n v="8.2279999999999998"/>
    <n v="8.2279999999999998"/>
    <n v="60"/>
    <x v="0"/>
    <n v="0"/>
    <n v="0"/>
    <n v="7"/>
    <n v="63"/>
    <n v="0"/>
    <n v="491.01"/>
    <n v="107.98"/>
    <m/>
    <n v="459.43656243300109"/>
    <n v="97.800648555216384"/>
    <n v="0"/>
    <n v="4040.0302799999999"/>
    <n v="888.45943999999997"/>
    <n v="0"/>
    <n v="3780.2440356987327"/>
    <n v="804.70373631232042"/>
  </r>
  <r>
    <s v="Regular"/>
    <x v="1"/>
    <x v="2"/>
    <x v="3"/>
    <x v="5"/>
    <x v="0"/>
    <x v="0"/>
    <x v="2"/>
    <x v="2"/>
    <n v="0"/>
    <n v="0"/>
    <n v="7.726"/>
    <n v="7.726"/>
    <n v="7.726"/>
    <n v="7.726"/>
    <n v="67"/>
    <x v="0"/>
    <n v="0"/>
    <n v="0"/>
    <n v="7"/>
    <n v="63"/>
    <n v="0"/>
    <n v="491.01"/>
    <n v="107.98"/>
    <m/>
    <n v="459.43656243300109"/>
    <n v="97.800648555216384"/>
    <n v="0"/>
    <n v="3793.5432599999999"/>
    <n v="834.25348000000008"/>
    <n v="0"/>
    <n v="3549.6068813573665"/>
    <n v="755.60781073760177"/>
  </r>
  <r>
    <s v="Regular"/>
    <x v="1"/>
    <x v="2"/>
    <x v="3"/>
    <x v="5"/>
    <x v="0"/>
    <x v="0"/>
    <x v="2"/>
    <x v="3"/>
    <n v="0"/>
    <n v="0"/>
    <n v="7.9729999999999999"/>
    <n v="7.9729999999999999"/>
    <n v="7.9729999999999999"/>
    <n v="7.9729999999999999"/>
    <n v="71"/>
    <x v="0"/>
    <n v="0"/>
    <n v="0"/>
    <n v="7"/>
    <n v="63"/>
    <n v="0"/>
    <n v="491.01"/>
    <n v="107.98"/>
    <m/>
    <n v="459.43656243300109"/>
    <n v="97.800648555216384"/>
    <n v="0"/>
    <n v="3914.8227299999999"/>
    <n v="860.92453999999998"/>
    <n v="0"/>
    <n v="3663.0877122783177"/>
    <n v="779.76457093074021"/>
  </r>
  <r>
    <s v="Regular"/>
    <x v="1"/>
    <x v="2"/>
    <x v="3"/>
    <x v="5"/>
    <x v="0"/>
    <x v="0"/>
    <x v="2"/>
    <x v="4"/>
    <n v="0"/>
    <n v="0"/>
    <n v="9.3420000000000005"/>
    <n v="9.3420000000000005"/>
    <n v="9.3420000000000005"/>
    <n v="9.3420000000000005"/>
    <n v="60"/>
    <x v="0"/>
    <n v="0"/>
    <n v="0"/>
    <n v="7"/>
    <n v="63"/>
    <n v="0"/>
    <n v="491.01"/>
    <n v="107.98"/>
    <m/>
    <n v="459.43656243300109"/>
    <n v="97.800648555216384"/>
    <n v="0"/>
    <n v="4587.0154199999997"/>
    <n v="1008.7491600000001"/>
    <n v="0"/>
    <n v="4292.0563662490968"/>
    <n v="913.6536588028315"/>
  </r>
  <r>
    <s v="Regular"/>
    <x v="1"/>
    <x v="2"/>
    <x v="3"/>
    <x v="5"/>
    <x v="0"/>
    <x v="0"/>
    <x v="2"/>
    <x v="5"/>
    <n v="0"/>
    <n v="0"/>
    <n v="11.077"/>
    <n v="11.077"/>
    <n v="11.077"/>
    <n v="11.077"/>
    <n v="65"/>
    <x v="0"/>
    <n v="0"/>
    <n v="0"/>
    <n v="7"/>
    <n v="63"/>
    <n v="0"/>
    <n v="491.01"/>
    <n v="107.98"/>
    <m/>
    <n v="459.43656243300109"/>
    <n v="97.800648555216384"/>
    <n v="0"/>
    <n v="5438.91777"/>
    <n v="1196.09446"/>
    <n v="0"/>
    <n v="5089.1788020703534"/>
    <n v="1083.3377840461319"/>
  </r>
  <r>
    <s v="Regular"/>
    <x v="1"/>
    <x v="2"/>
    <x v="3"/>
    <x v="5"/>
    <x v="0"/>
    <x v="0"/>
    <x v="2"/>
    <x v="6"/>
    <n v="0"/>
    <n v="0"/>
    <n v="9.8089999999999993"/>
    <n v="9.8089999999999993"/>
    <n v="9.8089999999999993"/>
    <n v="9.8089999999999993"/>
    <n v="71"/>
    <x v="0"/>
    <n v="0"/>
    <n v="0"/>
    <n v="7"/>
    <n v="63"/>
    <n v="0"/>
    <n v="491.01"/>
    <n v="107.98"/>
    <m/>
    <n v="459.43656243300109"/>
    <n v="97.800648555216384"/>
    <n v="0"/>
    <n v="4816.3170899999996"/>
    <n v="1059.1758199999999"/>
    <n v="0"/>
    <n v="4506.6132409053071"/>
    <n v="959.3265616781174"/>
  </r>
  <r>
    <s v="Refaturamento - Regular"/>
    <x v="1"/>
    <x v="2"/>
    <x v="3"/>
    <x v="5"/>
    <x v="0"/>
    <x v="0"/>
    <x v="2"/>
    <x v="6"/>
    <n v="0"/>
    <n v="0"/>
    <n v="5.0999999999999997E-2"/>
    <n v="5.0999999999999997E-2"/>
    <n v="5.0999999999999997E-2"/>
    <n v="5.0999999999999997E-2"/>
    <n v="0"/>
    <x v="0"/>
    <n v="0"/>
    <n v="0"/>
    <n v="7"/>
    <n v="63"/>
    <n v="0"/>
    <n v="491.01"/>
    <n v="107.98"/>
    <m/>
    <n v="459.43656243300109"/>
    <n v="97.800648555216384"/>
    <n v="0"/>
    <n v="25.041509999999999"/>
    <n v="5.5069799999999995"/>
    <n v="0"/>
    <n v="23.431264684083054"/>
    <n v="4.9878330763160355"/>
  </r>
  <r>
    <s v="Regular"/>
    <x v="1"/>
    <x v="2"/>
    <x v="3"/>
    <x v="5"/>
    <x v="0"/>
    <x v="0"/>
    <x v="2"/>
    <x v="7"/>
    <n v="0"/>
    <n v="0"/>
    <n v="10.356999999999999"/>
    <n v="10.356999999999999"/>
    <n v="10.356999999999999"/>
    <n v="10.356999999999999"/>
    <n v="79"/>
    <x v="0"/>
    <n v="0"/>
    <n v="0"/>
    <n v="7"/>
    <n v="63"/>
    <n v="0"/>
    <n v="491.01"/>
    <n v="107.98"/>
    <m/>
    <n v="459.43656243300109"/>
    <n v="97.800648555216384"/>
    <n v="0"/>
    <n v="5085.3905699999996"/>
    <n v="1118.3488600000001"/>
    <n v="0"/>
    <n v="4758.3844771185923"/>
    <n v="1012.921317086376"/>
  </r>
  <r>
    <s v="Regular"/>
    <x v="1"/>
    <x v="2"/>
    <x v="3"/>
    <x v="5"/>
    <x v="0"/>
    <x v="0"/>
    <x v="2"/>
    <x v="8"/>
    <n v="0"/>
    <n v="0"/>
    <n v="10.95"/>
    <n v="10.95"/>
    <n v="10.95"/>
    <n v="10.95"/>
    <n v="88"/>
    <x v="0"/>
    <n v="0"/>
    <n v="0"/>
    <n v="7"/>
    <n v="63"/>
    <n v="0"/>
    <n v="491.01"/>
    <n v="107.98"/>
    <m/>
    <n v="459.43656243300109"/>
    <n v="97.800648555216384"/>
    <n v="0"/>
    <n v="5376.5594999999994"/>
    <n v="1182.3809999999999"/>
    <n v="0"/>
    <n v="5030.8303586413613"/>
    <n v="1070.9171016796192"/>
  </r>
  <r>
    <s v="Regular"/>
    <x v="1"/>
    <x v="2"/>
    <x v="3"/>
    <x v="5"/>
    <x v="0"/>
    <x v="0"/>
    <x v="2"/>
    <x v="9"/>
    <n v="0"/>
    <n v="0"/>
    <n v="12.487"/>
    <n v="12.487"/>
    <n v="12.487"/>
    <n v="12.487"/>
    <n v="79"/>
    <x v="0"/>
    <n v="0"/>
    <n v="0"/>
    <n v="7"/>
    <n v="63"/>
    <n v="0"/>
    <n v="491.01"/>
    <n v="107.98"/>
    <m/>
    <n v="459.43656243300109"/>
    <n v="97.800648555216384"/>
    <n v="0"/>
    <n v="6131.2418699999998"/>
    <n v="1348.34626"/>
    <n v="0"/>
    <n v="5736.9843551008844"/>
    <n v="1221.236698508987"/>
  </r>
  <r>
    <s v="Regular"/>
    <x v="1"/>
    <x v="2"/>
    <x v="3"/>
    <x v="5"/>
    <x v="0"/>
    <x v="0"/>
    <x v="2"/>
    <x v="10"/>
    <n v="0"/>
    <n v="0"/>
    <n v="10.829000000000001"/>
    <n v="10.829000000000001"/>
    <n v="10.829000000000001"/>
    <n v="10.829000000000001"/>
    <n v="93"/>
    <x v="0"/>
    <n v="0"/>
    <n v="0"/>
    <n v="7"/>
    <n v="63"/>
    <n v="0"/>
    <n v="491.01"/>
    <n v="107.98"/>
    <m/>
    <n v="459.43656243300109"/>
    <n v="97.800648555216384"/>
    <n v="0"/>
    <n v="5317.1472899999999"/>
    <n v="1169.3154200000001"/>
    <n v="0"/>
    <n v="4975.2385345869689"/>
    <n v="1059.0832232044384"/>
  </r>
  <r>
    <s v="PROJETADO"/>
    <x v="1"/>
    <x v="2"/>
    <x v="3"/>
    <x v="5"/>
    <x v="0"/>
    <x v="0"/>
    <x v="2"/>
    <x v="11"/>
    <n v="0"/>
    <n v="0"/>
    <n v="10.829000000000001"/>
    <n v="10.829000000000001"/>
    <n v="10.829000000000001"/>
    <n v="10.829000000000001"/>
    <n v="93"/>
    <x v="0"/>
    <n v="0"/>
    <n v="0"/>
    <n v="7"/>
    <n v="63"/>
    <n v="0"/>
    <n v="491.01"/>
    <n v="107.98"/>
    <m/>
    <n v="459.43656243300109"/>
    <n v="97.800648555216384"/>
    <n v="0"/>
    <n v="5317.1472899999999"/>
    <n v="1169.3154200000001"/>
    <n v="0"/>
    <n v="4975.2385345869689"/>
    <n v="1059.0832232044384"/>
  </r>
  <r>
    <s v="Regular"/>
    <x v="1"/>
    <x v="2"/>
    <x v="3"/>
    <x v="6"/>
    <x v="0"/>
    <x v="0"/>
    <x v="2"/>
    <x v="0"/>
    <n v="0"/>
    <n v="0"/>
    <n v="1.62"/>
    <n v="1.62"/>
    <n v="1.62"/>
    <n v="1.62"/>
    <n v="26"/>
    <x v="0"/>
    <n v="0"/>
    <n v="0"/>
    <n v="35"/>
    <n v="79"/>
    <n v="0"/>
    <n v="545.55999999999995"/>
    <n v="119.97"/>
    <m/>
    <n v="510.48506937000121"/>
    <n v="108.66738728357376"/>
    <n v="0"/>
    <n v="883.80719999999997"/>
    <n v="194.35140000000001"/>
    <n v="0"/>
    <n v="826.98581237940198"/>
    <n v="176.04116739938951"/>
  </r>
  <r>
    <s v="Regular"/>
    <x v="1"/>
    <x v="2"/>
    <x v="3"/>
    <x v="6"/>
    <x v="0"/>
    <x v="0"/>
    <x v="2"/>
    <x v="1"/>
    <n v="0"/>
    <n v="0"/>
    <n v="2.931"/>
    <n v="2.931"/>
    <n v="2.931"/>
    <n v="2.931"/>
    <n v="38"/>
    <x v="0"/>
    <n v="0"/>
    <n v="0"/>
    <n v="35"/>
    <n v="79"/>
    <n v="0"/>
    <n v="545.55999999999995"/>
    <n v="119.97"/>
    <m/>
    <n v="510.48506937000121"/>
    <n v="108.66738728357376"/>
    <n v="0"/>
    <n v="1599.0363599999998"/>
    <n v="351.63207"/>
    <n v="0"/>
    <n v="1496.2317383234736"/>
    <n v="318.5041121281547"/>
  </r>
  <r>
    <s v="Regular"/>
    <x v="1"/>
    <x v="2"/>
    <x v="3"/>
    <x v="6"/>
    <x v="0"/>
    <x v="0"/>
    <x v="2"/>
    <x v="2"/>
    <n v="0"/>
    <n v="0"/>
    <n v="2.2109999999999999"/>
    <n v="2.2109999999999999"/>
    <n v="2.2109999999999999"/>
    <n v="2.2109999999999999"/>
    <n v="31"/>
    <x v="0"/>
    <n v="0"/>
    <n v="0"/>
    <n v="35"/>
    <n v="79"/>
    <n v="0"/>
    <n v="545.55999999999995"/>
    <n v="119.97"/>
    <m/>
    <n v="510.48506937000121"/>
    <n v="108.66738728357376"/>
    <n v="0"/>
    <n v="1206.2331599999998"/>
    <n v="265.25367"/>
    <n v="0"/>
    <n v="1128.6824883770726"/>
    <n v="240.26359328398158"/>
  </r>
  <r>
    <s v="Regular"/>
    <x v="1"/>
    <x v="2"/>
    <x v="3"/>
    <x v="6"/>
    <x v="0"/>
    <x v="0"/>
    <x v="2"/>
    <x v="3"/>
    <n v="0"/>
    <n v="0"/>
    <n v="2.2970000000000002"/>
    <n v="2.2970000000000002"/>
    <n v="2.2970000000000002"/>
    <n v="2.2970000000000002"/>
    <n v="34"/>
    <x v="0"/>
    <n v="0"/>
    <n v="0"/>
    <n v="35"/>
    <n v="79"/>
    <n v="0"/>
    <n v="545.55999999999995"/>
    <n v="119.97"/>
    <m/>
    <n v="510.48506937000121"/>
    <n v="108.66738728357376"/>
    <n v="0"/>
    <n v="1253.1513199999999"/>
    <n v="275.57109000000003"/>
    <n v="0"/>
    <n v="1172.5842043428929"/>
    <n v="249.60898859036894"/>
  </r>
  <r>
    <s v="Regular"/>
    <x v="1"/>
    <x v="2"/>
    <x v="3"/>
    <x v="6"/>
    <x v="0"/>
    <x v="0"/>
    <x v="2"/>
    <x v="4"/>
    <n v="0"/>
    <n v="0"/>
    <n v="4.3019999999999996"/>
    <n v="4.3019999999999996"/>
    <n v="4.3019999999999996"/>
    <n v="4.3019999999999996"/>
    <n v="48"/>
    <x v="0"/>
    <n v="0"/>
    <n v="0"/>
    <n v="35"/>
    <n v="79"/>
    <n v="0"/>
    <n v="545.55999999999995"/>
    <n v="119.97"/>
    <m/>
    <n v="510.48506937000121"/>
    <n v="108.66738728357376"/>
    <n v="0"/>
    <n v="2346.9991199999995"/>
    <n v="516.11093999999991"/>
    <n v="0"/>
    <n v="2196.106768429745"/>
    <n v="467.48710009393426"/>
  </r>
  <r>
    <s v="Regular"/>
    <x v="1"/>
    <x v="2"/>
    <x v="3"/>
    <x v="6"/>
    <x v="0"/>
    <x v="0"/>
    <x v="2"/>
    <x v="5"/>
    <n v="0"/>
    <n v="0"/>
    <n v="7.4379999999999997"/>
    <n v="7.4379999999999997"/>
    <n v="7.4379999999999997"/>
    <n v="7.4379999999999997"/>
    <n v="58"/>
    <x v="0"/>
    <n v="0"/>
    <n v="0"/>
    <n v="35"/>
    <n v="79"/>
    <n v="0"/>
    <n v="545.55999999999995"/>
    <n v="119.97"/>
    <m/>
    <n v="510.48506937000121"/>
    <n v="108.66738728357376"/>
    <n v="0"/>
    <n v="4057.8752799999993"/>
    <n v="892.33686"/>
    <n v="0"/>
    <n v="3796.9879459740687"/>
    <n v="808.26802661522163"/>
  </r>
  <r>
    <s v="Regular"/>
    <x v="1"/>
    <x v="2"/>
    <x v="3"/>
    <x v="6"/>
    <x v="0"/>
    <x v="0"/>
    <x v="2"/>
    <x v="6"/>
    <n v="0"/>
    <n v="0"/>
    <n v="5.5119999999999996"/>
    <n v="5.5119999999999996"/>
    <n v="5.5119999999999996"/>
    <n v="5.5119999999999996"/>
    <n v="51"/>
    <x v="0"/>
    <n v="0"/>
    <n v="0"/>
    <n v="35"/>
    <n v="79"/>
    <n v="0"/>
    <n v="545.55999999999995"/>
    <n v="119.97"/>
    <m/>
    <n v="510.48506937000121"/>
    <n v="108.66738728357376"/>
    <n v="0"/>
    <n v="3007.1267199999993"/>
    <n v="661.27463999999998"/>
    <n v="0"/>
    <n v="2813.7937023674463"/>
    <n v="598.97463870705849"/>
  </r>
  <r>
    <s v="Regular"/>
    <x v="1"/>
    <x v="2"/>
    <x v="3"/>
    <x v="6"/>
    <x v="0"/>
    <x v="0"/>
    <x v="2"/>
    <x v="7"/>
    <n v="0"/>
    <n v="0"/>
    <n v="3.56"/>
    <n v="3.56"/>
    <n v="3.56"/>
    <n v="3.56"/>
    <n v="49"/>
    <x v="0"/>
    <n v="0"/>
    <n v="0"/>
    <n v="35"/>
    <n v="79"/>
    <n v="0"/>
    <n v="545.55999999999995"/>
    <n v="119.97"/>
    <m/>
    <n v="510.48506937000121"/>
    <n v="108.66738728357376"/>
    <n v="0"/>
    <n v="1942.1935999999998"/>
    <n v="427.09320000000002"/>
    <n v="0"/>
    <n v="1817.3268469572045"/>
    <n v="386.85589872952261"/>
  </r>
  <r>
    <s v="Regular"/>
    <x v="1"/>
    <x v="2"/>
    <x v="3"/>
    <x v="6"/>
    <x v="0"/>
    <x v="0"/>
    <x v="2"/>
    <x v="8"/>
    <n v="0"/>
    <n v="0"/>
    <n v="2.9620000000000002"/>
    <n v="2.9620000000000002"/>
    <n v="2.9620000000000002"/>
    <n v="2.9620000000000002"/>
    <n v="51"/>
    <x v="0"/>
    <n v="0"/>
    <n v="0"/>
    <n v="35"/>
    <n v="79"/>
    <n v="0"/>
    <n v="545.55999999999995"/>
    <n v="119.97"/>
    <m/>
    <n v="510.48506937000121"/>
    <n v="108.66738728357376"/>
    <n v="0"/>
    <n v="1615.9487199999999"/>
    <n v="355.35114000000004"/>
    <n v="0"/>
    <n v="1512.0567754739436"/>
    <n v="321.87280113394547"/>
  </r>
  <r>
    <s v="Regular"/>
    <x v="1"/>
    <x v="2"/>
    <x v="3"/>
    <x v="6"/>
    <x v="0"/>
    <x v="0"/>
    <x v="2"/>
    <x v="9"/>
    <n v="0"/>
    <n v="0"/>
    <n v="6.2949999999999999"/>
    <n v="6.2949999999999999"/>
    <n v="6.2949999999999999"/>
    <n v="6.2949999999999999"/>
    <n v="65"/>
    <x v="0"/>
    <n v="0"/>
    <n v="0"/>
    <n v="35"/>
    <n v="79"/>
    <n v="0"/>
    <n v="545.55999999999995"/>
    <n v="119.97"/>
    <m/>
    <n v="510.48506937000121"/>
    <n v="108.66738728357376"/>
    <n v="0"/>
    <n v="3434.3001999999997"/>
    <n v="755.21114999999998"/>
    <n v="0"/>
    <n v="3213.5035116841577"/>
    <n v="684.0612029500968"/>
  </r>
  <r>
    <s v="Regular"/>
    <x v="1"/>
    <x v="2"/>
    <x v="3"/>
    <x v="6"/>
    <x v="0"/>
    <x v="0"/>
    <x v="2"/>
    <x v="10"/>
    <n v="0"/>
    <n v="0"/>
    <n v="3.0920000000000001"/>
    <n v="3.0920000000000001"/>
    <n v="3.0920000000000001"/>
    <n v="3.0920000000000001"/>
    <n v="47"/>
    <x v="0"/>
    <n v="0"/>
    <n v="0"/>
    <n v="35"/>
    <n v="79"/>
    <n v="0"/>
    <n v="545.55999999999995"/>
    <n v="119.97"/>
    <m/>
    <n v="510.48506937000121"/>
    <n v="108.66738728357376"/>
    <n v="0"/>
    <n v="1686.8715199999999"/>
    <n v="370.94724000000002"/>
    <n v="0"/>
    <n v="1578.4198344920437"/>
    <n v="335.99956148081009"/>
  </r>
  <r>
    <s v="PROJETADO"/>
    <x v="1"/>
    <x v="2"/>
    <x v="3"/>
    <x v="6"/>
    <x v="0"/>
    <x v="0"/>
    <x v="2"/>
    <x v="11"/>
    <n v="0"/>
    <n v="0"/>
    <n v="3.0920000000000001"/>
    <n v="3.0920000000000001"/>
    <n v="3.0920000000000001"/>
    <n v="3.0920000000000001"/>
    <n v="47"/>
    <x v="0"/>
    <n v="0"/>
    <n v="0"/>
    <n v="35"/>
    <n v="79"/>
    <n v="0"/>
    <n v="545.55999999999995"/>
    <n v="119.97"/>
    <m/>
    <n v="510.48506937000121"/>
    <n v="108.66738728357376"/>
    <n v="0"/>
    <n v="1686.8715199999999"/>
    <n v="370.94724000000002"/>
    <n v="0"/>
    <n v="1578.4198344920437"/>
    <n v="335.99956148081009"/>
  </r>
  <r>
    <s v="Regular"/>
    <x v="2"/>
    <x v="2"/>
    <x v="2"/>
    <x v="1"/>
    <x v="0"/>
    <x v="0"/>
    <x v="2"/>
    <x v="0"/>
    <n v="0"/>
    <n v="0"/>
    <n v="236.78899999999999"/>
    <n v="236.78899999999999"/>
    <n v="236.78899999999999"/>
    <n v="236.78899999999999"/>
    <n v="716"/>
    <x v="0"/>
    <n v="0"/>
    <n v="0"/>
    <n v="49"/>
    <n v="59"/>
    <n v="0"/>
    <n v="535.97"/>
    <n v="105.58"/>
    <m/>
    <n v="577.4169539089072"/>
    <n v="102.14734404655933"/>
    <n v="0"/>
    <n v="126911.80033"/>
    <n v="25000.18262"/>
    <n v="0"/>
    <n v="136725.98309913621"/>
    <n v="24187.367449440735"/>
  </r>
  <r>
    <s v="Sistema de Compensação"/>
    <x v="2"/>
    <x v="2"/>
    <x v="2"/>
    <x v="1"/>
    <x v="0"/>
    <x v="0"/>
    <x v="2"/>
    <x v="0"/>
    <n v="0"/>
    <n v="0"/>
    <n v="19.481999999999999"/>
    <n v="19.481999999999999"/>
    <n v="19.481999999999999"/>
    <n v="19.481999999999999"/>
    <n v="10"/>
    <x v="0"/>
    <n v="0"/>
    <n v="0"/>
    <n v="49"/>
    <n v="59"/>
    <n v="0"/>
    <n v="535.97"/>
    <n v="105.58"/>
    <m/>
    <n v="577.4169539089072"/>
    <n v="102.14734404655933"/>
    <n v="0"/>
    <n v="10441.767540000001"/>
    <n v="2056.9095600000001"/>
    <n v="0"/>
    <n v="11249.23709605333"/>
    <n v="1990.0345567150687"/>
  </r>
  <r>
    <s v="Regular"/>
    <x v="2"/>
    <x v="2"/>
    <x v="2"/>
    <x v="1"/>
    <x v="0"/>
    <x v="0"/>
    <x v="2"/>
    <x v="1"/>
    <n v="0"/>
    <n v="0"/>
    <n v="293.82499999999999"/>
    <n v="293.82499999999999"/>
    <n v="293.82499999999999"/>
    <n v="293.82499999999999"/>
    <n v="711"/>
    <x v="0"/>
    <n v="0"/>
    <n v="0"/>
    <n v="49"/>
    <n v="59"/>
    <n v="0"/>
    <n v="535.97"/>
    <n v="105.58"/>
    <m/>
    <n v="577.4169539089072"/>
    <n v="102.14734404655933"/>
    <n v="0"/>
    <n v="157481.38524999999"/>
    <n v="31022.0435"/>
    <n v="0"/>
    <n v="169659.53648228466"/>
    <n v="30013.443364480292"/>
  </r>
  <r>
    <s v="Refaturamento - Regular"/>
    <x v="2"/>
    <x v="2"/>
    <x v="2"/>
    <x v="1"/>
    <x v="0"/>
    <x v="0"/>
    <x v="2"/>
    <x v="1"/>
    <n v="0"/>
    <n v="0"/>
    <n v="-19.876000000000001"/>
    <n v="-19.876000000000001"/>
    <n v="-19.876000000000001"/>
    <n v="-19.876000000000001"/>
    <n v="0"/>
    <x v="0"/>
    <n v="0"/>
    <n v="0"/>
    <n v="49"/>
    <n v="59"/>
    <n v="0"/>
    <n v="535.97"/>
    <n v="105.58"/>
    <m/>
    <n v="577.4169539089072"/>
    <n v="102.14734404655933"/>
    <n v="0"/>
    <n v="-10652.93972"/>
    <n v="-2098.5080800000001"/>
    <n v="0"/>
    <n v="-11476.73937589344"/>
    <n v="-2030.2806102694133"/>
  </r>
  <r>
    <s v="Sistema de Compensação"/>
    <x v="2"/>
    <x v="2"/>
    <x v="2"/>
    <x v="1"/>
    <x v="0"/>
    <x v="0"/>
    <x v="2"/>
    <x v="1"/>
    <n v="0"/>
    <n v="0"/>
    <n v="16.452999999999999"/>
    <n v="16.452999999999999"/>
    <n v="16.452999999999999"/>
    <n v="16.452999999999999"/>
    <n v="12"/>
    <x v="0"/>
    <n v="0"/>
    <n v="0"/>
    <n v="49"/>
    <n v="59"/>
    <n v="0"/>
    <n v="535.97"/>
    <n v="105.58"/>
    <m/>
    <n v="577.4169539089072"/>
    <n v="102.14734404655933"/>
    <n v="0"/>
    <n v="8818.3144100000009"/>
    <n v="1737.1077399999999"/>
    <n v="0"/>
    <n v="9500.2411426632498"/>
    <n v="1680.6302515980406"/>
  </r>
  <r>
    <s v="Regular"/>
    <x v="2"/>
    <x v="2"/>
    <x v="2"/>
    <x v="1"/>
    <x v="0"/>
    <x v="0"/>
    <x v="2"/>
    <x v="2"/>
    <n v="0"/>
    <n v="0"/>
    <n v="265.36500000000001"/>
    <n v="265.36500000000001"/>
    <n v="265.36500000000001"/>
    <n v="265.36500000000001"/>
    <n v="712"/>
    <x v="0"/>
    <n v="0"/>
    <n v="0"/>
    <n v="49"/>
    <n v="59"/>
    <n v="0"/>
    <n v="535.97"/>
    <n v="105.58"/>
    <m/>
    <n v="577.4169539089072"/>
    <n v="102.14734404655933"/>
    <n v="0"/>
    <n v="142227.67905000001"/>
    <n v="28017.236700000001"/>
    <n v="0"/>
    <n v="153226.24997403717"/>
    <n v="27106.329952915217"/>
  </r>
  <r>
    <s v="Regular"/>
    <x v="2"/>
    <x v="2"/>
    <x v="2"/>
    <x v="1"/>
    <x v="0"/>
    <x v="0"/>
    <x v="2"/>
    <x v="3"/>
    <n v="0"/>
    <n v="0"/>
    <n v="251.61"/>
    <n v="251.61"/>
    <n v="251.61"/>
    <n v="251.61"/>
    <n v="711"/>
    <x v="0"/>
    <n v="0"/>
    <n v="0"/>
    <n v="49"/>
    <n v="59"/>
    <n v="0"/>
    <n v="535.97"/>
    <n v="105.58"/>
    <m/>
    <n v="577.4169539089072"/>
    <n v="102.14734404655933"/>
    <n v="0"/>
    <n v="134855.41170000003"/>
    <n v="26564.983800000002"/>
    <n v="0"/>
    <n v="145283.87977302016"/>
    <n v="25701.293235554793"/>
  </r>
  <r>
    <s v="Sistema de Compensação"/>
    <x v="2"/>
    <x v="2"/>
    <x v="2"/>
    <x v="1"/>
    <x v="0"/>
    <x v="0"/>
    <x v="2"/>
    <x v="3"/>
    <n v="0"/>
    <n v="0"/>
    <n v="10.541"/>
    <n v="10.541"/>
    <n v="10.541"/>
    <n v="10.541"/>
    <n v="12"/>
    <x v="0"/>
    <n v="0"/>
    <n v="0"/>
    <n v="49"/>
    <n v="59"/>
    <n v="0"/>
    <n v="535.97"/>
    <n v="105.58"/>
    <m/>
    <n v="577.4169539089072"/>
    <n v="102.14734404655933"/>
    <n v="0"/>
    <n v="5649.6597700000002"/>
    <n v="1112.91878"/>
    <n v="0"/>
    <n v="6086.552111153791"/>
    <n v="1076.7351535947819"/>
  </r>
  <r>
    <s v="Regular"/>
    <x v="2"/>
    <x v="2"/>
    <x v="2"/>
    <x v="1"/>
    <x v="0"/>
    <x v="0"/>
    <x v="2"/>
    <x v="4"/>
    <n v="0"/>
    <n v="0"/>
    <n v="293.61200000000002"/>
    <n v="293.61200000000002"/>
    <n v="293.61200000000002"/>
    <n v="293.61200000000002"/>
    <n v="708"/>
    <x v="0"/>
    <n v="0"/>
    <n v="0"/>
    <n v="49"/>
    <n v="59"/>
    <n v="0"/>
    <n v="535.97"/>
    <n v="105.58"/>
    <m/>
    <n v="577.4169539089072"/>
    <n v="102.14734404655933"/>
    <n v="0"/>
    <n v="157367.22364000001"/>
    <n v="30999.554960000001"/>
    <n v="0"/>
    <n v="169536.54667110209"/>
    <n v="29991.685980198377"/>
  </r>
  <r>
    <s v="Sistema de Compensação"/>
    <x v="2"/>
    <x v="2"/>
    <x v="2"/>
    <x v="1"/>
    <x v="0"/>
    <x v="0"/>
    <x v="2"/>
    <x v="4"/>
    <n v="0"/>
    <n v="0"/>
    <n v="22.734999999999999"/>
    <n v="22.734999999999999"/>
    <n v="22.734999999999999"/>
    <n v="22.734999999999999"/>
    <n v="13"/>
    <x v="0"/>
    <n v="0"/>
    <n v="0"/>
    <n v="49"/>
    <n v="59"/>
    <n v="0"/>
    <n v="535.97"/>
    <n v="105.58"/>
    <m/>
    <n v="577.4169539089072"/>
    <n v="102.14734404655933"/>
    <n v="0"/>
    <n v="12185.27795"/>
    <n v="2400.3613"/>
    <n v="0"/>
    <n v="13127.574447119005"/>
    <n v="2322.319866898526"/>
  </r>
  <r>
    <s v="Regular"/>
    <x v="2"/>
    <x v="2"/>
    <x v="2"/>
    <x v="1"/>
    <x v="0"/>
    <x v="0"/>
    <x v="2"/>
    <x v="5"/>
    <n v="0"/>
    <n v="0"/>
    <n v="325.15499999999997"/>
    <n v="325.15499999999997"/>
    <n v="325.15499999999997"/>
    <n v="325.15499999999997"/>
    <n v="707"/>
    <x v="0"/>
    <n v="0"/>
    <n v="0"/>
    <n v="49"/>
    <n v="59"/>
    <n v="0"/>
    <n v="535.97"/>
    <n v="105.58"/>
    <m/>
    <n v="577.4169539089072"/>
    <n v="102.14734404655933"/>
    <n v="0"/>
    <n v="174273.32535"/>
    <n v="34329.864899999993"/>
    <n v="0"/>
    <n v="187750.00964825071"/>
    <n v="33213.719653458997"/>
  </r>
  <r>
    <s v="Refaturamento - Regular"/>
    <x v="2"/>
    <x v="2"/>
    <x v="2"/>
    <x v="1"/>
    <x v="0"/>
    <x v="0"/>
    <x v="2"/>
    <x v="5"/>
    <n v="0"/>
    <n v="0"/>
    <n v="-0.47399999999999998"/>
    <n v="-0.47399999999999998"/>
    <n v="-0.47399999999999998"/>
    <n v="-0.47399999999999998"/>
    <n v="0"/>
    <x v="0"/>
    <n v="0"/>
    <n v="0"/>
    <n v="49"/>
    <n v="59"/>
    <n v="0"/>
    <n v="535.97"/>
    <n v="105.58"/>
    <m/>
    <n v="577.4169539089072"/>
    <n v="102.14734404655933"/>
    <n v="0"/>
    <n v="-254.04978"/>
    <n v="-50.044919999999998"/>
    <n v="0"/>
    <n v="-273.69563615282198"/>
    <n v="-48.417841078069117"/>
  </r>
  <r>
    <s v="Sistema de Compensação"/>
    <x v="2"/>
    <x v="2"/>
    <x v="2"/>
    <x v="1"/>
    <x v="0"/>
    <x v="0"/>
    <x v="2"/>
    <x v="5"/>
    <n v="0"/>
    <n v="0"/>
    <n v="18.158999999999999"/>
    <n v="18.158999999999999"/>
    <n v="18.158999999999999"/>
    <n v="18.158999999999999"/>
    <n v="13"/>
    <x v="0"/>
    <n v="0"/>
    <n v="0"/>
    <n v="49"/>
    <n v="59"/>
    <n v="0"/>
    <n v="535.97"/>
    <n v="105.58"/>
    <m/>
    <n v="577.4169539089072"/>
    <n v="102.14734404655933"/>
    <n v="0"/>
    <n v="9732.6792299999997"/>
    <n v="1917.2272199999998"/>
    <n v="0"/>
    <n v="10485.314466031845"/>
    <n v="1854.8936205414707"/>
  </r>
  <r>
    <s v="Regular"/>
    <x v="2"/>
    <x v="2"/>
    <x v="2"/>
    <x v="1"/>
    <x v="0"/>
    <x v="0"/>
    <x v="2"/>
    <x v="6"/>
    <n v="0"/>
    <n v="0"/>
    <n v="280.87599999999998"/>
    <n v="280.87599999999998"/>
    <n v="280.87599999999998"/>
    <n v="280.87599999999998"/>
    <n v="704"/>
    <x v="0"/>
    <n v="0"/>
    <n v="0"/>
    <n v="49"/>
    <n v="59"/>
    <n v="0"/>
    <n v="535.97"/>
    <n v="105.58"/>
    <m/>
    <n v="577.4169539089072"/>
    <n v="102.14734404655933"/>
    <n v="0"/>
    <n v="150541.10972000001"/>
    <n v="29654.888079999997"/>
    <n v="0"/>
    <n v="162182.56434611822"/>
    <n v="28690.737406421395"/>
  </r>
  <r>
    <s v="Refaturamento - Regular"/>
    <x v="2"/>
    <x v="2"/>
    <x v="2"/>
    <x v="1"/>
    <x v="0"/>
    <x v="0"/>
    <x v="2"/>
    <x v="6"/>
    <n v="0"/>
    <n v="0"/>
    <n v="-2.2639999999999998"/>
    <n v="-2.2639999999999998"/>
    <n v="-2.2639999999999998"/>
    <n v="-2.2639999999999998"/>
    <n v="0"/>
    <x v="0"/>
    <n v="0"/>
    <n v="0"/>
    <n v="49"/>
    <n v="59"/>
    <n v="0"/>
    <n v="535.97"/>
    <n v="105.58"/>
    <m/>
    <n v="577.4169539089072"/>
    <n v="102.14734404655933"/>
    <n v="0"/>
    <n v="-1213.4360799999999"/>
    <n v="-239.03311999999997"/>
    <n v="0"/>
    <n v="-1307.2719836497658"/>
    <n v="-231.2615869214103"/>
  </r>
  <r>
    <s v="Sistema de Compensação"/>
    <x v="2"/>
    <x v="2"/>
    <x v="2"/>
    <x v="1"/>
    <x v="0"/>
    <x v="0"/>
    <x v="2"/>
    <x v="6"/>
    <n v="0"/>
    <n v="0"/>
    <n v="28.015000000000001"/>
    <n v="28.015000000000001"/>
    <n v="28.015000000000001"/>
    <n v="28.015000000000001"/>
    <n v="13"/>
    <x v="0"/>
    <n v="0"/>
    <n v="0"/>
    <n v="49"/>
    <n v="59"/>
    <n v="0"/>
    <n v="535.97"/>
    <n v="105.58"/>
    <m/>
    <n v="577.4169539089072"/>
    <n v="102.14734404655933"/>
    <n v="0"/>
    <n v="15015.199550000001"/>
    <n v="2957.8236999999999"/>
    <n v="0"/>
    <n v="16176.335963758036"/>
    <n v="2861.6578434643598"/>
  </r>
  <r>
    <s v="Regular"/>
    <x v="2"/>
    <x v="2"/>
    <x v="2"/>
    <x v="1"/>
    <x v="0"/>
    <x v="0"/>
    <x v="2"/>
    <x v="7"/>
    <n v="0"/>
    <n v="0"/>
    <n v="243.8"/>
    <n v="243.8"/>
    <n v="243.8"/>
    <n v="243.8"/>
    <n v="705"/>
    <x v="0"/>
    <n v="0"/>
    <n v="0"/>
    <n v="49"/>
    <n v="59"/>
    <n v="0"/>
    <n v="535.97"/>
    <n v="105.58"/>
    <m/>
    <n v="577.4169539089072"/>
    <n v="102.14734404655933"/>
    <n v="0"/>
    <n v="130669.48600000002"/>
    <n v="25740.404000000002"/>
    <n v="0"/>
    <n v="140774.25336299159"/>
    <n v="24903.522478551164"/>
  </r>
  <r>
    <s v="Sistema de Compensação"/>
    <x v="2"/>
    <x v="2"/>
    <x v="2"/>
    <x v="1"/>
    <x v="0"/>
    <x v="0"/>
    <x v="2"/>
    <x v="7"/>
    <n v="0"/>
    <n v="0"/>
    <n v="17.763999999999999"/>
    <n v="17.763999999999999"/>
    <n v="17.763999999999999"/>
    <n v="17.763999999999999"/>
    <n v="13"/>
    <x v="0"/>
    <n v="0"/>
    <n v="0"/>
    <n v="49"/>
    <n v="59"/>
    <n v="0"/>
    <n v="535.97"/>
    <n v="105.58"/>
    <m/>
    <n v="577.4169539089072"/>
    <n v="102.14734404655933"/>
    <n v="0"/>
    <n v="9520.9710799999993"/>
    <n v="1875.5231199999998"/>
    <n v="0"/>
    <n v="10257.234769237828"/>
    <n v="1814.5454196430799"/>
  </r>
  <r>
    <s v="Sistema de Compensação"/>
    <x v="2"/>
    <x v="2"/>
    <x v="2"/>
    <x v="1"/>
    <x v="0"/>
    <x v="0"/>
    <x v="2"/>
    <x v="7"/>
    <n v="0"/>
    <n v="0"/>
    <n v="-1.169"/>
    <n v="-1.169"/>
    <n v="-1.169"/>
    <n v="-1.169"/>
    <n v="2"/>
    <x v="0"/>
    <n v="0"/>
    <n v="0"/>
    <n v="49"/>
    <n v="59"/>
    <n v="0"/>
    <n v="535.97"/>
    <n v="105.58"/>
    <m/>
    <n v="577.4169539089072"/>
    <n v="102.14734404655933"/>
    <n v="0"/>
    <n v="-626.54893000000004"/>
    <n v="-123.42302000000001"/>
    <n v="0"/>
    <n v="-675.00041911951257"/>
    <n v="-119.41024519042786"/>
  </r>
  <r>
    <s v="Regular"/>
    <x v="2"/>
    <x v="2"/>
    <x v="2"/>
    <x v="1"/>
    <x v="0"/>
    <x v="0"/>
    <x v="2"/>
    <x v="8"/>
    <n v="0"/>
    <n v="0"/>
    <n v="220.846"/>
    <n v="220.846"/>
    <n v="220.846"/>
    <n v="220.846"/>
    <n v="700"/>
    <x v="0"/>
    <n v="0"/>
    <n v="0"/>
    <n v="49"/>
    <n v="59"/>
    <n v="0"/>
    <n v="535.97"/>
    <n v="105.58"/>
    <m/>
    <n v="577.4169539089072"/>
    <n v="102.14734404655933"/>
    <n v="0"/>
    <n v="118366.83062000001"/>
    <n v="23316.920679999999"/>
    <n v="0"/>
    <n v="127520.22460296653"/>
    <n v="22558.83234330644"/>
  </r>
  <r>
    <s v="Sistema de Compensação"/>
    <x v="2"/>
    <x v="2"/>
    <x v="2"/>
    <x v="1"/>
    <x v="0"/>
    <x v="0"/>
    <x v="2"/>
    <x v="8"/>
    <n v="0"/>
    <n v="0"/>
    <n v="18.504999999999999"/>
    <n v="18.504999999999999"/>
    <n v="18.504999999999999"/>
    <n v="18.504999999999999"/>
    <n v="17"/>
    <x v="0"/>
    <n v="0"/>
    <n v="0"/>
    <n v="49"/>
    <n v="59"/>
    <n v="0"/>
    <n v="535.97"/>
    <n v="105.58"/>
    <m/>
    <n v="577.4169539089072"/>
    <n v="102.14734404655933"/>
    <n v="0"/>
    <n v="9918.1248500000002"/>
    <n v="1953.7578999999998"/>
    <n v="0"/>
    <n v="10685.100732084327"/>
    <n v="1890.2366015815803"/>
  </r>
  <r>
    <s v="Sistema de Compensação"/>
    <x v="2"/>
    <x v="2"/>
    <x v="2"/>
    <x v="1"/>
    <x v="0"/>
    <x v="0"/>
    <x v="2"/>
    <x v="8"/>
    <n v="0"/>
    <n v="0"/>
    <n v="-5.4939999999999998"/>
    <n v="-5.4939999999999998"/>
    <n v="-5.4939999999999998"/>
    <n v="-5.4939999999999998"/>
    <n v="2"/>
    <x v="0"/>
    <n v="0"/>
    <n v="0"/>
    <n v="49"/>
    <n v="59"/>
    <n v="0"/>
    <n v="535.97"/>
    <n v="105.58"/>
    <m/>
    <n v="577.4169539089072"/>
    <n v="102.14734404655933"/>
    <n v="0"/>
    <n v="-2944.6191800000001"/>
    <n v="-580.05651999999998"/>
    <n v="0"/>
    <n v="-3172.3287447755361"/>
    <n v="-561.19750819179694"/>
  </r>
  <r>
    <s v="Regular"/>
    <x v="2"/>
    <x v="2"/>
    <x v="2"/>
    <x v="1"/>
    <x v="0"/>
    <x v="0"/>
    <x v="2"/>
    <x v="9"/>
    <n v="0"/>
    <n v="0"/>
    <n v="269.67599999999999"/>
    <n v="269.67599999999999"/>
    <n v="269.67599999999999"/>
    <n v="269.67599999999999"/>
    <n v="701"/>
    <x v="0"/>
    <n v="0"/>
    <n v="0"/>
    <n v="49"/>
    <n v="59"/>
    <n v="0"/>
    <n v="535.97"/>
    <n v="105.58"/>
    <m/>
    <n v="577.4169539089072"/>
    <n v="102.14734404655933"/>
    <n v="0"/>
    <n v="144538.24572000001"/>
    <n v="28472.392079999998"/>
    <n v="0"/>
    <n v="155715.49446233845"/>
    <n v="27546.687153099931"/>
  </r>
  <r>
    <s v="Sistema de Compensação"/>
    <x v="2"/>
    <x v="2"/>
    <x v="2"/>
    <x v="1"/>
    <x v="0"/>
    <x v="0"/>
    <x v="2"/>
    <x v="9"/>
    <n v="0"/>
    <n v="0"/>
    <n v="-3.0350000000000001"/>
    <n v="-3.0350000000000001"/>
    <n v="-3.0350000000000001"/>
    <n v="-3.0350000000000001"/>
    <n v="2"/>
    <x v="0"/>
    <n v="0"/>
    <n v="0"/>
    <n v="49"/>
    <n v="59"/>
    <n v="0"/>
    <n v="535.97"/>
    <n v="105.58"/>
    <m/>
    <n v="577.4169539089072"/>
    <n v="102.14734404655933"/>
    <n v="0"/>
    <n v="-1626.6689500000002"/>
    <n v="-320.43529999999998"/>
    <n v="0"/>
    <n v="-1752.4604551135335"/>
    <n v="-310.01718918130757"/>
  </r>
  <r>
    <s v="Sistema de Compensação"/>
    <x v="2"/>
    <x v="2"/>
    <x v="2"/>
    <x v="1"/>
    <x v="0"/>
    <x v="0"/>
    <x v="2"/>
    <x v="9"/>
    <n v="0"/>
    <n v="0"/>
    <n v="30.792999999999999"/>
    <n v="30.792999999999999"/>
    <n v="30.792999999999999"/>
    <n v="30.792999999999999"/>
    <n v="16"/>
    <x v="0"/>
    <n v="0"/>
    <n v="0"/>
    <n v="49"/>
    <n v="59"/>
    <n v="0"/>
    <n v="535.97"/>
    <n v="105.58"/>
    <m/>
    <n v="577.4169539089072"/>
    <n v="102.14734404655933"/>
    <n v="0"/>
    <n v="16504.124210000002"/>
    <n v="3251.1249399999997"/>
    <n v="0"/>
    <n v="17780.400261716979"/>
    <n v="3145.4231652257013"/>
  </r>
  <r>
    <s v="Regular"/>
    <x v="2"/>
    <x v="2"/>
    <x v="2"/>
    <x v="1"/>
    <x v="0"/>
    <x v="0"/>
    <x v="2"/>
    <x v="10"/>
    <n v="0"/>
    <n v="0"/>
    <n v="241.06"/>
    <n v="241.06"/>
    <n v="241.06"/>
    <n v="241.06"/>
    <n v="698"/>
    <x v="0"/>
    <n v="0"/>
    <n v="0"/>
    <n v="49"/>
    <n v="59"/>
    <n v="0"/>
    <n v="535.97"/>
    <n v="105.58"/>
    <m/>
    <n v="577.4169539089072"/>
    <n v="102.14734404655933"/>
    <n v="0"/>
    <n v="129200.92820000001"/>
    <n v="25451.114799999999"/>
    <n v="0"/>
    <n v="139192.13090928117"/>
    <n v="24623.638755863591"/>
  </r>
  <r>
    <s v="Sistema de Compensação"/>
    <x v="2"/>
    <x v="2"/>
    <x v="2"/>
    <x v="1"/>
    <x v="0"/>
    <x v="0"/>
    <x v="2"/>
    <x v="10"/>
    <n v="0"/>
    <n v="0"/>
    <n v="28.602"/>
    <n v="28.602"/>
    <n v="28.602"/>
    <n v="28.602"/>
    <n v="18"/>
    <x v="0"/>
    <n v="0"/>
    <n v="0"/>
    <n v="49"/>
    <n v="59"/>
    <n v="0"/>
    <n v="535.97"/>
    <n v="105.58"/>
    <m/>
    <n v="577.4169539089072"/>
    <n v="102.14734404655933"/>
    <n v="0"/>
    <n v="15329.813940000002"/>
    <n v="3019.79916"/>
    <n v="0"/>
    <n v="16515.279715702563"/>
    <n v="2921.6183344196897"/>
  </r>
  <r>
    <s v="PROJETADO"/>
    <x v="2"/>
    <x v="2"/>
    <x v="2"/>
    <x v="1"/>
    <x v="0"/>
    <x v="0"/>
    <x v="2"/>
    <x v="11"/>
    <n v="0"/>
    <n v="0"/>
    <n v="241.06"/>
    <n v="241.06"/>
    <n v="241.06"/>
    <n v="241.06"/>
    <n v="698"/>
    <x v="0"/>
    <n v="0"/>
    <n v="0"/>
    <n v="49"/>
    <n v="59"/>
    <n v="0"/>
    <n v="535.97"/>
    <n v="105.58"/>
    <m/>
    <n v="577.4169539089072"/>
    <n v="102.14734404655933"/>
    <n v="0"/>
    <n v="129200.92820000001"/>
    <n v="25451.114799999999"/>
    <n v="0"/>
    <n v="139192.13090928117"/>
    <n v="24623.638755863591"/>
  </r>
  <r>
    <s v="PROJETADO"/>
    <x v="2"/>
    <x v="2"/>
    <x v="2"/>
    <x v="1"/>
    <x v="0"/>
    <x v="0"/>
    <x v="2"/>
    <x v="11"/>
    <n v="0"/>
    <n v="0"/>
    <n v="28.602"/>
    <n v="28.602"/>
    <n v="28.602"/>
    <n v="28.602"/>
    <n v="18"/>
    <x v="0"/>
    <n v="0"/>
    <n v="0"/>
    <n v="49"/>
    <n v="59"/>
    <n v="0"/>
    <n v="535.97"/>
    <n v="105.58"/>
    <m/>
    <n v="577.4169539089072"/>
    <n v="102.14734404655933"/>
    <n v="0"/>
    <n v="15329.813940000002"/>
    <n v="3019.79916"/>
    <n v="0"/>
    <n v="16515.279715702563"/>
    <n v="2921.6183344196897"/>
  </r>
  <r>
    <s v="Regular"/>
    <x v="3"/>
    <x v="3"/>
    <x v="1"/>
    <x v="1"/>
    <x v="0"/>
    <x v="0"/>
    <x v="0"/>
    <x v="0"/>
    <n v="0"/>
    <n v="0"/>
    <n v="28.125"/>
    <n v="28.125"/>
    <n v="28.125"/>
    <n v="28.125"/>
    <n v="0"/>
    <x v="0"/>
    <n v="0"/>
    <n v="0"/>
    <n v="24"/>
    <n v="60"/>
    <n v="0"/>
    <n v="440.79"/>
    <n v="119.97"/>
    <m/>
    <n v="456.70476065944217"/>
    <n v="108.66738728357376"/>
    <n v="0"/>
    <n v="12397.21875"/>
    <n v="3374.15625"/>
    <n v="0"/>
    <n v="12844.82139354681"/>
    <n v="3056.2702673505119"/>
  </r>
  <r>
    <s v="Regular"/>
    <x v="3"/>
    <x v="3"/>
    <x v="1"/>
    <x v="1"/>
    <x v="0"/>
    <x v="0"/>
    <x v="0"/>
    <x v="1"/>
    <n v="0"/>
    <n v="0"/>
    <n v="33.966000000000001"/>
    <n v="33.966000000000001"/>
    <n v="33.966000000000001"/>
    <n v="33.966000000000001"/>
    <n v="0"/>
    <x v="0"/>
    <n v="0"/>
    <n v="0"/>
    <n v="24"/>
    <n v="60"/>
    <n v="0"/>
    <n v="440.79"/>
    <n v="119.97"/>
    <m/>
    <n v="456.70476065944217"/>
    <n v="108.66738728357376"/>
    <n v="0"/>
    <n v="14971.873140000002"/>
    <n v="4074.9010200000002"/>
    <n v="0"/>
    <n v="15512.433900558613"/>
    <n v="3690.9964764738666"/>
  </r>
  <r>
    <s v="Regular"/>
    <x v="3"/>
    <x v="3"/>
    <x v="1"/>
    <x v="1"/>
    <x v="0"/>
    <x v="0"/>
    <x v="0"/>
    <x v="2"/>
    <n v="0"/>
    <n v="0"/>
    <n v="34.052"/>
    <n v="34.052"/>
    <n v="34.052"/>
    <n v="34.052"/>
    <n v="0"/>
    <x v="0"/>
    <n v="0"/>
    <n v="0"/>
    <n v="24"/>
    <n v="60"/>
    <n v="0"/>
    <n v="440.79"/>
    <n v="119.97"/>
    <m/>
    <n v="456.70476065944217"/>
    <n v="108.66738728357376"/>
    <n v="0"/>
    <n v="15009.781080000001"/>
    <n v="4085.2184400000001"/>
    <n v="0"/>
    <n v="15551.710509975324"/>
    <n v="3700.3418717802538"/>
  </r>
  <r>
    <s v="Regular"/>
    <x v="3"/>
    <x v="3"/>
    <x v="1"/>
    <x v="1"/>
    <x v="0"/>
    <x v="0"/>
    <x v="0"/>
    <x v="3"/>
    <n v="0"/>
    <n v="0"/>
    <n v="27.806999999999999"/>
    <n v="27.806999999999999"/>
    <n v="27.806999999999999"/>
    <n v="27.806999999999999"/>
    <n v="0"/>
    <x v="0"/>
    <n v="0"/>
    <n v="0"/>
    <n v="24"/>
    <n v="60"/>
    <n v="0"/>
    <n v="440.79"/>
    <n v="119.97"/>
    <m/>
    <n v="456.70476065944217"/>
    <n v="108.66738728357376"/>
    <n v="0"/>
    <n v="12257.04753"/>
    <n v="3336.0057899999997"/>
    <n v="0"/>
    <n v="12699.589279657108"/>
    <n v="3021.7140381943354"/>
  </r>
  <r>
    <s v="Regular"/>
    <x v="3"/>
    <x v="3"/>
    <x v="1"/>
    <x v="1"/>
    <x v="0"/>
    <x v="0"/>
    <x v="0"/>
    <x v="4"/>
    <n v="0"/>
    <n v="0"/>
    <n v="21.280999999999999"/>
    <n v="21.280999999999999"/>
    <n v="21.280999999999999"/>
    <n v="21.280999999999999"/>
    <n v="0"/>
    <x v="0"/>
    <n v="0"/>
    <n v="0"/>
    <n v="24"/>
    <n v="60"/>
    <n v="0"/>
    <n v="440.79"/>
    <n v="119.97"/>
    <m/>
    <n v="456.70476065944217"/>
    <n v="108.66738728357376"/>
    <n v="0"/>
    <n v="9380.4519899999996"/>
    <n v="2553.0815699999998"/>
    <n v="0"/>
    <n v="9719.1340115935891"/>
    <n v="2312.5506687817328"/>
  </r>
  <r>
    <s v="Regular"/>
    <x v="3"/>
    <x v="3"/>
    <x v="1"/>
    <x v="1"/>
    <x v="0"/>
    <x v="0"/>
    <x v="0"/>
    <x v="5"/>
    <n v="0"/>
    <n v="0"/>
    <n v="34.11"/>
    <n v="34.11"/>
    <n v="34.11"/>
    <n v="34.11"/>
    <n v="0"/>
    <x v="0"/>
    <n v="0"/>
    <n v="0"/>
    <n v="24"/>
    <n v="60"/>
    <n v="0"/>
    <n v="440.79"/>
    <n v="119.97"/>
    <m/>
    <n v="456.70476065944217"/>
    <n v="108.66738728357376"/>
    <n v="0"/>
    <n v="15035.3469"/>
    <n v="4092.1767"/>
    <n v="0"/>
    <n v="15578.199386093573"/>
    <n v="3706.6445802427011"/>
  </r>
  <r>
    <s v="Regular"/>
    <x v="3"/>
    <x v="3"/>
    <x v="1"/>
    <x v="1"/>
    <x v="0"/>
    <x v="0"/>
    <x v="0"/>
    <x v="6"/>
    <n v="0"/>
    <n v="0"/>
    <n v="35.738"/>
    <n v="35.738"/>
    <n v="35.738"/>
    <n v="35.738"/>
    <n v="0"/>
    <x v="0"/>
    <n v="0"/>
    <n v="0"/>
    <n v="24"/>
    <n v="60"/>
    <n v="0"/>
    <n v="440.79"/>
    <n v="119.97"/>
    <m/>
    <n v="456.70476065944217"/>
    <n v="108.66738728357376"/>
    <n v="0"/>
    <n v="15752.953020000001"/>
    <n v="4287.4878600000002"/>
    <n v="0"/>
    <n v="16321.714736447144"/>
    <n v="3883.555086740359"/>
  </r>
  <r>
    <s v="Regular"/>
    <x v="3"/>
    <x v="3"/>
    <x v="1"/>
    <x v="1"/>
    <x v="0"/>
    <x v="0"/>
    <x v="0"/>
    <x v="7"/>
    <n v="0"/>
    <n v="0"/>
    <n v="29.988"/>
    <n v="29.988"/>
    <n v="29.988"/>
    <n v="29.988"/>
    <n v="0"/>
    <x v="0"/>
    <n v="0"/>
    <n v="0"/>
    <n v="24"/>
    <n v="60"/>
    <n v="0"/>
    <n v="440.79"/>
    <n v="119.97"/>
    <m/>
    <n v="456.70476065944217"/>
    <n v="108.66738728357376"/>
    <n v="0"/>
    <n v="13218.410520000001"/>
    <n v="3597.6603599999999"/>
    <n v="0"/>
    <n v="13695.662362655352"/>
    <n v="3258.7176098598097"/>
  </r>
  <r>
    <s v="Regular"/>
    <x v="3"/>
    <x v="3"/>
    <x v="1"/>
    <x v="1"/>
    <x v="0"/>
    <x v="0"/>
    <x v="0"/>
    <x v="8"/>
    <n v="0"/>
    <n v="0"/>
    <n v="27.564"/>
    <n v="27.564"/>
    <n v="27.564"/>
    <n v="27.564"/>
    <n v="0"/>
    <x v="0"/>
    <n v="0"/>
    <n v="0"/>
    <n v="24"/>
    <n v="60"/>
    <n v="0"/>
    <n v="440.79"/>
    <n v="119.97"/>
    <m/>
    <n v="456.70476065944217"/>
    <n v="108.66738728357376"/>
    <n v="0"/>
    <n v="12149.93556"/>
    <n v="3306.8530799999999"/>
    <n v="0"/>
    <n v="12588.610022816863"/>
    <n v="2995.307863084427"/>
  </r>
  <r>
    <s v="Regular"/>
    <x v="3"/>
    <x v="3"/>
    <x v="1"/>
    <x v="1"/>
    <x v="0"/>
    <x v="0"/>
    <x v="0"/>
    <x v="9"/>
    <n v="0"/>
    <n v="0"/>
    <n v="34.933"/>
    <n v="34.933"/>
    <n v="34.933"/>
    <n v="34.933"/>
    <n v="0"/>
    <x v="0"/>
    <n v="0"/>
    <n v="0"/>
    <n v="24"/>
    <n v="60"/>
    <n v="0"/>
    <n v="440.79"/>
    <n v="119.97"/>
    <m/>
    <n v="456.70476065944217"/>
    <n v="108.66738728357376"/>
    <n v="0"/>
    <n v="15398.11707"/>
    <n v="4190.91201"/>
    <n v="0"/>
    <n v="15954.067404116293"/>
    <n v="3796.077839977082"/>
  </r>
  <r>
    <s v="Regular"/>
    <x v="3"/>
    <x v="3"/>
    <x v="1"/>
    <x v="1"/>
    <x v="0"/>
    <x v="0"/>
    <x v="0"/>
    <x v="10"/>
    <n v="0"/>
    <n v="0"/>
    <n v="32.578000000000003"/>
    <n v="32.578000000000003"/>
    <n v="32.578000000000003"/>
    <n v="32.578000000000003"/>
    <n v="0"/>
    <x v="0"/>
    <n v="0"/>
    <n v="0"/>
    <n v="24"/>
    <n v="60"/>
    <n v="0"/>
    <n v="440.79"/>
    <n v="119.97"/>
    <m/>
    <n v="456.70476065944217"/>
    <n v="108.66738728357376"/>
    <n v="0"/>
    <n v="14360.056620000001"/>
    <n v="3908.3826600000002"/>
    <n v="0"/>
    <n v="14878.527692763308"/>
    <n v="3540.1661429242663"/>
  </r>
  <r>
    <s v="Sistema de Compensação"/>
    <x v="3"/>
    <x v="3"/>
    <x v="1"/>
    <x v="1"/>
    <x v="0"/>
    <x v="0"/>
    <x v="0"/>
    <x v="10"/>
    <n v="0"/>
    <n v="0"/>
    <n v="0.17499999999999999"/>
    <n v="0.17499999999999999"/>
    <n v="0.17499999999999999"/>
    <n v="0.17499999999999999"/>
    <n v="0"/>
    <x v="0"/>
    <n v="0"/>
    <n v="0"/>
    <n v="24"/>
    <n v="60"/>
    <n v="0"/>
    <n v="440.79"/>
    <n v="119.97"/>
    <m/>
    <n v="456.70476065944217"/>
    <n v="108.66738728357376"/>
    <n v="0"/>
    <n v="77.138249999999999"/>
    <n v="20.99475"/>
    <n v="0"/>
    <n v="79.923333115402372"/>
    <n v="19.016792774625408"/>
  </r>
  <r>
    <s v="PROJETADO"/>
    <x v="3"/>
    <x v="3"/>
    <x v="1"/>
    <x v="1"/>
    <x v="0"/>
    <x v="0"/>
    <x v="0"/>
    <x v="11"/>
    <n v="0"/>
    <n v="0"/>
    <n v="32.578000000000003"/>
    <n v="32.578000000000003"/>
    <n v="32.578000000000003"/>
    <n v="32.578000000000003"/>
    <n v="0"/>
    <x v="0"/>
    <n v="0"/>
    <n v="0"/>
    <n v="24"/>
    <n v="60"/>
    <n v="0"/>
    <n v="440.79"/>
    <n v="119.97"/>
    <m/>
    <n v="456.70476065944217"/>
    <n v="108.66738728357376"/>
    <n v="0"/>
    <n v="14360.056620000001"/>
    <n v="3908.3826600000002"/>
    <n v="0"/>
    <n v="14878.527692763308"/>
    <n v="3540.1661429242663"/>
  </r>
  <r>
    <s v="PROJETADO"/>
    <x v="3"/>
    <x v="3"/>
    <x v="1"/>
    <x v="1"/>
    <x v="0"/>
    <x v="0"/>
    <x v="0"/>
    <x v="11"/>
    <n v="0"/>
    <n v="0"/>
    <n v="0.17499999999999999"/>
    <n v="0.17499999999999999"/>
    <n v="0.17499999999999999"/>
    <n v="0.17499999999999999"/>
    <n v="0"/>
    <x v="0"/>
    <n v="0"/>
    <n v="0"/>
    <n v="24"/>
    <n v="60"/>
    <n v="0"/>
    <n v="440.79"/>
    <n v="119.97"/>
    <m/>
    <n v="456.70476065944217"/>
    <n v="108.66738728357376"/>
    <n v="0"/>
    <n v="77.138249999999999"/>
    <n v="20.99475"/>
    <n v="0"/>
    <n v="79.923333115402372"/>
    <n v="19.016792774625408"/>
  </r>
  <r>
    <s v="Regular"/>
    <x v="3"/>
    <x v="3"/>
    <x v="1"/>
    <x v="1"/>
    <x v="0"/>
    <x v="0"/>
    <x v="3"/>
    <x v="0"/>
    <n v="0"/>
    <n v="0"/>
    <n v="0.14399999999999999"/>
    <n v="0.14399999999999999"/>
    <n v="0.14399999999999999"/>
    <n v="0.14399999999999999"/>
    <n v="0"/>
    <x v="0"/>
    <n v="0"/>
    <n v="0"/>
    <n v="50"/>
    <n v="72"/>
    <n v="0"/>
    <n v="1155.83"/>
    <n v="119.97"/>
    <m/>
    <n v="1126.2589386637064"/>
    <n v="108.66738728357376"/>
    <n v="0"/>
    <n v="166.43951999999999"/>
    <n v="17.275679999999998"/>
    <n v="0"/>
    <n v="162.18128716757371"/>
    <n v="15.64810376883462"/>
  </r>
  <r>
    <s v="Regular"/>
    <x v="3"/>
    <x v="3"/>
    <x v="1"/>
    <x v="1"/>
    <x v="0"/>
    <x v="0"/>
    <x v="3"/>
    <x v="1"/>
    <n v="0"/>
    <n v="0"/>
    <n v="0.33"/>
    <n v="0.33"/>
    <n v="0.33"/>
    <n v="0.33"/>
    <n v="0"/>
    <x v="0"/>
    <n v="0"/>
    <n v="0"/>
    <n v="50"/>
    <n v="72"/>
    <n v="0"/>
    <n v="1155.83"/>
    <n v="119.97"/>
    <m/>
    <n v="1126.2589386637064"/>
    <n v="108.66738728357376"/>
    <n v="0"/>
    <n v="381.4239"/>
    <n v="39.5901"/>
    <n v="0"/>
    <n v="371.66544975902315"/>
    <n v="35.860237803579345"/>
  </r>
  <r>
    <s v="Regular"/>
    <x v="3"/>
    <x v="3"/>
    <x v="1"/>
    <x v="1"/>
    <x v="0"/>
    <x v="0"/>
    <x v="3"/>
    <x v="2"/>
    <n v="0"/>
    <n v="0"/>
    <n v="0.14399999999999999"/>
    <n v="0.14399999999999999"/>
    <n v="0.14399999999999999"/>
    <n v="0.14399999999999999"/>
    <n v="0"/>
    <x v="0"/>
    <n v="0"/>
    <n v="0"/>
    <n v="50"/>
    <n v="72"/>
    <n v="0"/>
    <n v="1155.83"/>
    <n v="119.97"/>
    <m/>
    <n v="1126.2589386637064"/>
    <n v="108.66738728357376"/>
    <n v="0"/>
    <n v="166.43951999999999"/>
    <n v="17.275679999999998"/>
    <n v="0"/>
    <n v="162.18128716757371"/>
    <n v="15.64810376883462"/>
  </r>
  <r>
    <s v="Regular"/>
    <x v="3"/>
    <x v="3"/>
    <x v="1"/>
    <x v="1"/>
    <x v="0"/>
    <x v="0"/>
    <x v="3"/>
    <x v="3"/>
    <n v="0"/>
    <n v="0"/>
    <n v="0.185"/>
    <n v="0.185"/>
    <n v="0.185"/>
    <n v="0.185"/>
    <n v="0"/>
    <x v="0"/>
    <n v="0"/>
    <n v="0"/>
    <n v="50"/>
    <n v="72"/>
    <n v="0"/>
    <n v="1155.83"/>
    <n v="119.97"/>
    <m/>
    <n v="1126.2589386637064"/>
    <n v="108.66738728357376"/>
    <n v="0"/>
    <n v="213.82854999999998"/>
    <n v="22.19445"/>
    <n v="0"/>
    <n v="208.35790365278569"/>
    <n v="20.103466647461147"/>
  </r>
  <r>
    <s v="Regular"/>
    <x v="3"/>
    <x v="3"/>
    <x v="1"/>
    <x v="1"/>
    <x v="0"/>
    <x v="0"/>
    <x v="3"/>
    <x v="4"/>
    <n v="0"/>
    <n v="0"/>
    <n v="0.10299999999999999"/>
    <n v="0.10299999999999999"/>
    <n v="0.10299999999999999"/>
    <n v="0.10299999999999999"/>
    <n v="0"/>
    <x v="0"/>
    <n v="0"/>
    <n v="0"/>
    <n v="50"/>
    <n v="72"/>
    <n v="0"/>
    <n v="1155.83"/>
    <n v="119.97"/>
    <m/>
    <n v="1126.2589386637064"/>
    <n v="108.66738728357376"/>
    <n v="0"/>
    <n v="119.05048999999998"/>
    <n v="12.356909999999999"/>
    <n v="0"/>
    <n v="116.00467068236176"/>
    <n v="11.192740890208096"/>
  </r>
  <r>
    <s v="Regular"/>
    <x v="3"/>
    <x v="3"/>
    <x v="1"/>
    <x v="1"/>
    <x v="0"/>
    <x v="0"/>
    <x v="3"/>
    <x v="5"/>
    <n v="0"/>
    <n v="0"/>
    <n v="0.19600000000000001"/>
    <n v="0.19600000000000001"/>
    <n v="0.19600000000000001"/>
    <n v="0.19600000000000001"/>
    <n v="0"/>
    <x v="0"/>
    <n v="0"/>
    <n v="0"/>
    <n v="50"/>
    <n v="72"/>
    <n v="0"/>
    <n v="1155.83"/>
    <n v="119.97"/>
    <m/>
    <n v="1126.2589386637064"/>
    <n v="108.66738728357376"/>
    <n v="0"/>
    <n v="226.54267999999999"/>
    <n v="23.514120000000002"/>
    <n v="0"/>
    <n v="220.74675197808648"/>
    <n v="21.298807907580457"/>
  </r>
  <r>
    <s v="Regular"/>
    <x v="3"/>
    <x v="3"/>
    <x v="1"/>
    <x v="1"/>
    <x v="0"/>
    <x v="0"/>
    <x v="3"/>
    <x v="6"/>
    <n v="0"/>
    <n v="0"/>
    <n v="0.185"/>
    <n v="0.185"/>
    <n v="0.185"/>
    <n v="0.185"/>
    <n v="0"/>
    <x v="0"/>
    <n v="0"/>
    <n v="0"/>
    <n v="50"/>
    <n v="72"/>
    <n v="0"/>
    <n v="1155.83"/>
    <n v="119.97"/>
    <m/>
    <n v="1126.2589386637064"/>
    <n v="108.66738728357376"/>
    <n v="0"/>
    <n v="213.82854999999998"/>
    <n v="22.19445"/>
    <n v="0"/>
    <n v="208.35790365278569"/>
    <n v="20.103466647461147"/>
  </r>
  <r>
    <s v="Regular"/>
    <x v="3"/>
    <x v="3"/>
    <x v="1"/>
    <x v="1"/>
    <x v="0"/>
    <x v="0"/>
    <x v="3"/>
    <x v="7"/>
    <n v="0"/>
    <n v="0"/>
    <n v="0.22600000000000001"/>
    <n v="0.22600000000000001"/>
    <n v="0.22600000000000001"/>
    <n v="0.22600000000000001"/>
    <n v="0"/>
    <x v="0"/>
    <n v="0"/>
    <n v="0"/>
    <n v="50"/>
    <n v="72"/>
    <n v="0"/>
    <n v="1155.83"/>
    <n v="119.97"/>
    <m/>
    <n v="1126.2589386637064"/>
    <n v="108.66738728357376"/>
    <n v="0"/>
    <n v="261.21758"/>
    <n v="27.113220000000002"/>
    <n v="0"/>
    <n v="254.53452013799767"/>
    <n v="24.558829526087671"/>
  </r>
  <r>
    <s v="Regular"/>
    <x v="3"/>
    <x v="3"/>
    <x v="1"/>
    <x v="1"/>
    <x v="0"/>
    <x v="0"/>
    <x v="3"/>
    <x v="8"/>
    <n v="0"/>
    <n v="0"/>
    <n v="0.19600000000000001"/>
    <n v="0.19600000000000001"/>
    <n v="0.19600000000000001"/>
    <n v="0.19600000000000001"/>
    <n v="0"/>
    <x v="0"/>
    <n v="0"/>
    <n v="0"/>
    <n v="50"/>
    <n v="72"/>
    <n v="0"/>
    <n v="1155.83"/>
    <n v="119.97"/>
    <m/>
    <n v="1126.2589386637064"/>
    <n v="108.66738728357376"/>
    <n v="0"/>
    <n v="226.54267999999999"/>
    <n v="23.514120000000002"/>
    <n v="0"/>
    <n v="220.74675197808648"/>
    <n v="21.298807907580457"/>
  </r>
  <r>
    <s v="Regular"/>
    <x v="3"/>
    <x v="3"/>
    <x v="1"/>
    <x v="1"/>
    <x v="0"/>
    <x v="0"/>
    <x v="3"/>
    <x v="9"/>
    <n v="0"/>
    <n v="0"/>
    <n v="0.23599999999999999"/>
    <n v="0.23599999999999999"/>
    <n v="0.23599999999999999"/>
    <n v="0.23599999999999999"/>
    <n v="0"/>
    <x v="0"/>
    <n v="0"/>
    <n v="0"/>
    <n v="50"/>
    <n v="72"/>
    <n v="0"/>
    <n v="1155.83"/>
    <n v="119.97"/>
    <m/>
    <n v="1126.2589386637064"/>
    <n v="108.66738728357376"/>
    <n v="0"/>
    <n v="272.77587999999997"/>
    <n v="28.312919999999998"/>
    <n v="0"/>
    <n v="265.79710952463472"/>
    <n v="25.645503398923406"/>
  </r>
  <r>
    <s v="Regular"/>
    <x v="3"/>
    <x v="3"/>
    <x v="1"/>
    <x v="1"/>
    <x v="0"/>
    <x v="0"/>
    <x v="3"/>
    <x v="10"/>
    <n v="0"/>
    <n v="0"/>
    <n v="0.113"/>
    <n v="0.113"/>
    <n v="0.113"/>
    <n v="0.113"/>
    <n v="0"/>
    <x v="0"/>
    <n v="0"/>
    <n v="0"/>
    <n v="50"/>
    <n v="72"/>
    <n v="0"/>
    <n v="1155.83"/>
    <n v="119.97"/>
    <m/>
    <n v="1126.2589386637064"/>
    <n v="108.66738728357376"/>
    <n v="0"/>
    <n v="130.60879"/>
    <n v="13.556610000000001"/>
    <n v="0"/>
    <n v="127.26726006899884"/>
    <n v="12.279414763043835"/>
  </r>
  <r>
    <s v="Sistema de Compensação"/>
    <x v="3"/>
    <x v="3"/>
    <x v="1"/>
    <x v="1"/>
    <x v="0"/>
    <x v="0"/>
    <x v="3"/>
    <x v="10"/>
    <n v="0"/>
    <n v="0"/>
    <n v="1.2999999999999999E-2"/>
    <n v="1.2999999999999999E-2"/>
    <n v="1.2999999999999999E-2"/>
    <n v="1.2999999999999999E-2"/>
    <n v="0"/>
    <x v="0"/>
    <n v="0"/>
    <n v="0"/>
    <n v="50"/>
    <n v="72"/>
    <n v="0"/>
    <n v="1155.83"/>
    <n v="119.97"/>
    <m/>
    <n v="1126.2589386637064"/>
    <n v="108.66738728357376"/>
    <n v="0"/>
    <n v="15.025789999999999"/>
    <n v="1.5596099999999999"/>
    <n v="0"/>
    <n v="14.641366202628182"/>
    <n v="1.4126760346864589"/>
  </r>
  <r>
    <s v="PROJETADO"/>
    <x v="3"/>
    <x v="3"/>
    <x v="1"/>
    <x v="1"/>
    <x v="0"/>
    <x v="0"/>
    <x v="3"/>
    <x v="11"/>
    <n v="0"/>
    <n v="0"/>
    <n v="0.113"/>
    <n v="0.113"/>
    <n v="0.113"/>
    <n v="0.113"/>
    <n v="0"/>
    <x v="0"/>
    <n v="0"/>
    <n v="0"/>
    <n v="50"/>
    <n v="72"/>
    <n v="0"/>
    <n v="1155.83"/>
    <n v="119.97"/>
    <m/>
    <n v="1126.2589386637064"/>
    <n v="108.66738728357376"/>
    <n v="0"/>
    <n v="130.60879"/>
    <n v="13.556610000000001"/>
    <n v="0"/>
    <n v="127.26726006899884"/>
    <n v="12.279414763043835"/>
  </r>
  <r>
    <s v="PROJETADO"/>
    <x v="3"/>
    <x v="3"/>
    <x v="1"/>
    <x v="1"/>
    <x v="0"/>
    <x v="0"/>
    <x v="3"/>
    <x v="11"/>
    <n v="0"/>
    <n v="0"/>
    <n v="1.2999999999999999E-2"/>
    <n v="1.2999999999999999E-2"/>
    <n v="1.2999999999999999E-2"/>
    <n v="1.2999999999999999E-2"/>
    <n v="0"/>
    <x v="0"/>
    <n v="0"/>
    <n v="0"/>
    <n v="50"/>
    <n v="72"/>
    <n v="0"/>
    <n v="1155.83"/>
    <n v="119.97"/>
    <m/>
    <n v="1126.2589386637064"/>
    <n v="108.66738728357376"/>
    <n v="0"/>
    <n v="15.025789999999999"/>
    <n v="1.5596099999999999"/>
    <n v="0"/>
    <n v="14.641366202628182"/>
    <n v="1.4126760346864589"/>
  </r>
  <r>
    <s v="Regular"/>
    <x v="3"/>
    <x v="3"/>
    <x v="1"/>
    <x v="1"/>
    <x v="0"/>
    <x v="0"/>
    <x v="1"/>
    <x v="0"/>
    <n v="0"/>
    <n v="0"/>
    <n v="0.13400000000000001"/>
    <n v="0.13400000000000001"/>
    <n v="0.13400000000000001"/>
    <n v="0.13400000000000001"/>
    <n v="0"/>
    <x v="0"/>
    <n v="0"/>
    <n v="0"/>
    <n v="37"/>
    <n v="74"/>
    <n v="0"/>
    <n v="1870.98"/>
    <n v="119.97"/>
    <m/>
    <n v="1795.9426193353513"/>
    <n v="108.66738728357376"/>
    <n v="0"/>
    <n v="250.71132000000003"/>
    <n v="16.075980000000001"/>
    <n v="0"/>
    <n v="240.6563109909371"/>
    <n v="14.561429895998884"/>
  </r>
  <r>
    <s v="Regular"/>
    <x v="3"/>
    <x v="3"/>
    <x v="1"/>
    <x v="1"/>
    <x v="0"/>
    <x v="0"/>
    <x v="1"/>
    <x v="1"/>
    <n v="0"/>
    <n v="0"/>
    <n v="5.1999999999999998E-2"/>
    <n v="5.1999999999999998E-2"/>
    <n v="5.1999999999999998E-2"/>
    <n v="5.1999999999999998E-2"/>
    <n v="0"/>
    <x v="0"/>
    <n v="0"/>
    <n v="0"/>
    <n v="37"/>
    <n v="74"/>
    <n v="0"/>
    <n v="1870.98"/>
    <n v="119.97"/>
    <m/>
    <n v="1795.9426193353513"/>
    <n v="108.66738728357376"/>
    <n v="0"/>
    <n v="97.290959999999998"/>
    <n v="6.2384399999999998"/>
    <n v="0"/>
    <n v="93.389016205438267"/>
    <n v="5.6507041387458354"/>
  </r>
  <r>
    <s v="Regular"/>
    <x v="3"/>
    <x v="3"/>
    <x v="1"/>
    <x v="1"/>
    <x v="0"/>
    <x v="0"/>
    <x v="1"/>
    <x v="2"/>
    <n v="0"/>
    <n v="0"/>
    <n v="0.14399999999999999"/>
    <n v="0.14399999999999999"/>
    <n v="0.14399999999999999"/>
    <n v="0.14399999999999999"/>
    <n v="0"/>
    <x v="0"/>
    <n v="0"/>
    <n v="0"/>
    <n v="37"/>
    <n v="74"/>
    <n v="0"/>
    <n v="1870.98"/>
    <n v="119.97"/>
    <m/>
    <n v="1795.9426193353513"/>
    <n v="108.66738728357376"/>
    <n v="0"/>
    <n v="269.42111999999997"/>
    <n v="17.275679999999998"/>
    <n v="0"/>
    <n v="258.61573718429059"/>
    <n v="15.64810376883462"/>
  </r>
  <r>
    <s v="Regular"/>
    <x v="3"/>
    <x v="3"/>
    <x v="1"/>
    <x v="1"/>
    <x v="0"/>
    <x v="0"/>
    <x v="1"/>
    <x v="3"/>
    <n v="0"/>
    <n v="0"/>
    <n v="5.1999999999999998E-2"/>
    <n v="5.1999999999999998E-2"/>
    <n v="5.1999999999999998E-2"/>
    <n v="5.1999999999999998E-2"/>
    <n v="0"/>
    <x v="0"/>
    <n v="0"/>
    <n v="0"/>
    <n v="37"/>
    <n v="74"/>
    <n v="0"/>
    <n v="1870.98"/>
    <n v="119.97"/>
    <m/>
    <n v="1795.9426193353513"/>
    <n v="108.66738728357376"/>
    <n v="0"/>
    <n v="97.290959999999998"/>
    <n v="6.2384399999999998"/>
    <n v="0"/>
    <n v="93.389016205438267"/>
    <n v="5.6507041387458354"/>
  </r>
  <r>
    <s v="Regular"/>
    <x v="3"/>
    <x v="3"/>
    <x v="1"/>
    <x v="1"/>
    <x v="0"/>
    <x v="0"/>
    <x v="1"/>
    <x v="4"/>
    <n v="0"/>
    <n v="0"/>
    <n v="7.2999999999999995E-2"/>
    <n v="7.2999999999999995E-2"/>
    <n v="7.2999999999999995E-2"/>
    <n v="7.2999999999999995E-2"/>
    <n v="0"/>
    <x v="0"/>
    <n v="0"/>
    <n v="0"/>
    <n v="37"/>
    <n v="74"/>
    <n v="0"/>
    <n v="1870.98"/>
    <n v="119.97"/>
    <m/>
    <n v="1795.9426193353513"/>
    <n v="108.66738728357376"/>
    <n v="0"/>
    <n v="136.58153999999999"/>
    <n v="8.7578099999999992"/>
    <n v="0"/>
    <n v="131.10381121148063"/>
    <n v="7.9327192717008836"/>
  </r>
  <r>
    <s v="Regular"/>
    <x v="3"/>
    <x v="3"/>
    <x v="1"/>
    <x v="1"/>
    <x v="0"/>
    <x v="0"/>
    <x v="1"/>
    <x v="5"/>
    <n v="0"/>
    <n v="0"/>
    <n v="7.1999999999999995E-2"/>
    <n v="7.1999999999999995E-2"/>
    <n v="7.1999999999999995E-2"/>
    <n v="7.1999999999999995E-2"/>
    <n v="0"/>
    <x v="0"/>
    <n v="0"/>
    <n v="0"/>
    <n v="37"/>
    <n v="74"/>
    <n v="0"/>
    <n v="1870.98"/>
    <n v="119.97"/>
    <m/>
    <n v="1795.9426193353513"/>
    <n v="108.66738728357376"/>
    <n v="0"/>
    <n v="134.71055999999999"/>
    <n v="8.6378399999999989"/>
    <n v="0"/>
    <n v="129.3078685921453"/>
    <n v="7.8240518844173099"/>
  </r>
  <r>
    <s v="Regular"/>
    <x v="3"/>
    <x v="3"/>
    <x v="1"/>
    <x v="1"/>
    <x v="0"/>
    <x v="0"/>
    <x v="1"/>
    <x v="6"/>
    <n v="0"/>
    <n v="0"/>
    <n v="7.2999999999999995E-2"/>
    <n v="7.2999999999999995E-2"/>
    <n v="7.2999999999999995E-2"/>
    <n v="7.2999999999999995E-2"/>
    <n v="0"/>
    <x v="0"/>
    <n v="0"/>
    <n v="0"/>
    <n v="37"/>
    <n v="74"/>
    <n v="0"/>
    <n v="1870.98"/>
    <n v="119.97"/>
    <m/>
    <n v="1795.9426193353513"/>
    <n v="108.66738728357376"/>
    <n v="0"/>
    <n v="136.58153999999999"/>
    <n v="8.7578099999999992"/>
    <n v="0"/>
    <n v="131.10381121148063"/>
    <n v="7.9327192717008836"/>
  </r>
  <r>
    <s v="Regular"/>
    <x v="3"/>
    <x v="3"/>
    <x v="1"/>
    <x v="1"/>
    <x v="0"/>
    <x v="0"/>
    <x v="1"/>
    <x v="7"/>
    <n v="0"/>
    <n v="0"/>
    <n v="0.10299999999999999"/>
    <n v="0.10299999999999999"/>
    <n v="0.10299999999999999"/>
    <n v="0.10299999999999999"/>
    <n v="0"/>
    <x v="0"/>
    <n v="0"/>
    <n v="0"/>
    <n v="37"/>
    <n v="74"/>
    <n v="0"/>
    <n v="1870.98"/>
    <n v="119.97"/>
    <m/>
    <n v="1795.9426193353513"/>
    <n v="108.66738728357376"/>
    <n v="0"/>
    <n v="192.71093999999999"/>
    <n v="12.356909999999999"/>
    <n v="0"/>
    <n v="184.98208979154117"/>
    <n v="11.192740890208096"/>
  </r>
  <r>
    <s v="Regular"/>
    <x v="3"/>
    <x v="3"/>
    <x v="1"/>
    <x v="1"/>
    <x v="0"/>
    <x v="0"/>
    <x v="1"/>
    <x v="8"/>
    <n v="0"/>
    <n v="0"/>
    <n v="3.2000000000000001E-2"/>
    <n v="3.2000000000000001E-2"/>
    <n v="3.2000000000000001E-2"/>
    <n v="3.2000000000000001E-2"/>
    <n v="0"/>
    <x v="0"/>
    <n v="0"/>
    <n v="0"/>
    <n v="37"/>
    <n v="74"/>
    <n v="0"/>
    <n v="1870.98"/>
    <n v="119.97"/>
    <m/>
    <n v="1795.9426193353513"/>
    <n v="108.66738728357376"/>
    <n v="0"/>
    <n v="59.871360000000003"/>
    <n v="3.8390400000000002"/>
    <n v="0"/>
    <n v="57.470163818731244"/>
    <n v="3.4773563930743605"/>
  </r>
  <r>
    <s v="Regular"/>
    <x v="3"/>
    <x v="3"/>
    <x v="1"/>
    <x v="1"/>
    <x v="0"/>
    <x v="0"/>
    <x v="1"/>
    <x v="9"/>
    <n v="0"/>
    <n v="0"/>
    <n v="9.1999999999999998E-2"/>
    <n v="9.1999999999999998E-2"/>
    <n v="9.1999999999999998E-2"/>
    <n v="9.1999999999999998E-2"/>
    <n v="0"/>
    <x v="0"/>
    <n v="0"/>
    <n v="0"/>
    <n v="37"/>
    <n v="74"/>
    <n v="0"/>
    <n v="1870.98"/>
    <n v="119.97"/>
    <m/>
    <n v="1795.9426193353513"/>
    <n v="108.66738728357376"/>
    <n v="0"/>
    <n v="172.13015999999999"/>
    <n v="11.037239999999999"/>
    <n v="0"/>
    <n v="165.22672097885231"/>
    <n v="9.9973996300887862"/>
  </r>
  <r>
    <s v="Regular"/>
    <x v="3"/>
    <x v="3"/>
    <x v="1"/>
    <x v="1"/>
    <x v="0"/>
    <x v="0"/>
    <x v="1"/>
    <x v="10"/>
    <n v="0"/>
    <n v="0"/>
    <n v="9.2999999999999999E-2"/>
    <n v="9.2999999999999999E-2"/>
    <n v="9.2999999999999999E-2"/>
    <n v="9.2999999999999999E-2"/>
    <n v="0"/>
    <x v="0"/>
    <n v="0"/>
    <n v="0"/>
    <n v="37"/>
    <n v="74"/>
    <n v="0"/>
    <n v="1870.98"/>
    <n v="119.97"/>
    <m/>
    <n v="1795.9426193353513"/>
    <n v="108.66738728357376"/>
    <n v="0"/>
    <n v="174.00113999999999"/>
    <n v="11.157209999999999"/>
    <n v="0"/>
    <n v="167.02266359818768"/>
    <n v="10.106067017372359"/>
  </r>
  <r>
    <s v="Sistema de Compensação"/>
    <x v="3"/>
    <x v="3"/>
    <x v="1"/>
    <x v="1"/>
    <x v="0"/>
    <x v="0"/>
    <x v="1"/>
    <x v="10"/>
    <n v="0"/>
    <n v="0"/>
    <n v="0.02"/>
    <n v="0.02"/>
    <n v="0.02"/>
    <n v="0.02"/>
    <n v="0"/>
    <x v="0"/>
    <n v="0"/>
    <n v="0"/>
    <n v="37"/>
    <n v="74"/>
    <n v="0"/>
    <n v="1870.98"/>
    <n v="119.97"/>
    <m/>
    <n v="1795.9426193353513"/>
    <n v="108.66738728357376"/>
    <n v="0"/>
    <n v="37.419600000000003"/>
    <n v="2.3994"/>
    <n v="0"/>
    <n v="35.91885238670703"/>
    <n v="2.1733477456714754"/>
  </r>
  <r>
    <s v="PROJETADO"/>
    <x v="3"/>
    <x v="3"/>
    <x v="1"/>
    <x v="1"/>
    <x v="0"/>
    <x v="0"/>
    <x v="1"/>
    <x v="11"/>
    <n v="0"/>
    <n v="0"/>
    <n v="9.2999999999999999E-2"/>
    <n v="9.2999999999999999E-2"/>
    <n v="9.2999999999999999E-2"/>
    <n v="9.2999999999999999E-2"/>
    <n v="0"/>
    <x v="0"/>
    <n v="0"/>
    <n v="0"/>
    <n v="37"/>
    <n v="74"/>
    <n v="0"/>
    <n v="1870.98"/>
    <n v="119.97"/>
    <m/>
    <n v="1795.9426193353513"/>
    <n v="108.66738728357376"/>
    <n v="0"/>
    <n v="174.00113999999999"/>
    <n v="11.157209999999999"/>
    <n v="0"/>
    <n v="167.02266359818768"/>
    <n v="10.106067017372359"/>
  </r>
  <r>
    <s v="PROJETADO"/>
    <x v="3"/>
    <x v="3"/>
    <x v="1"/>
    <x v="1"/>
    <x v="0"/>
    <x v="0"/>
    <x v="1"/>
    <x v="11"/>
    <n v="0"/>
    <n v="0"/>
    <n v="0.02"/>
    <n v="0.02"/>
    <n v="0.02"/>
    <n v="0.02"/>
    <n v="0"/>
    <x v="0"/>
    <n v="0"/>
    <n v="0"/>
    <n v="37"/>
    <n v="74"/>
    <n v="0"/>
    <n v="1870.98"/>
    <n v="119.97"/>
    <m/>
    <n v="1795.9426193353513"/>
    <n v="108.66738728357376"/>
    <n v="0"/>
    <n v="37.419600000000003"/>
    <n v="2.3994"/>
    <n v="0"/>
    <n v="35.91885238670703"/>
    <n v="2.1733477456714754"/>
  </r>
  <r>
    <s v="Regular"/>
    <x v="3"/>
    <x v="2"/>
    <x v="4"/>
    <x v="1"/>
    <x v="0"/>
    <x v="0"/>
    <x v="2"/>
    <x v="0"/>
    <n v="0"/>
    <n v="0"/>
    <n v="86.62"/>
    <n v="86.62"/>
    <n v="86.62"/>
    <n v="86.62"/>
    <n v="277"/>
    <x v="0"/>
    <n v="0"/>
    <n v="0"/>
    <n v="28"/>
    <n v="76"/>
    <n v="0"/>
    <n v="609.05999999999995"/>
    <n v="119.97"/>
    <m/>
    <n v="614.27335522224178"/>
    <n v="108.66738728357376"/>
    <n v="0"/>
    <n v="52756.777199999997"/>
    <n v="10391.8014"/>
    <n v="0"/>
    <n v="53208.358029350587"/>
    <n v="9412.76908650316"/>
  </r>
  <r>
    <s v="Sistema de Compensação"/>
    <x v="3"/>
    <x v="2"/>
    <x v="4"/>
    <x v="1"/>
    <x v="0"/>
    <x v="0"/>
    <x v="2"/>
    <x v="0"/>
    <n v="0"/>
    <n v="0"/>
    <n v="0.5"/>
    <n v="0.5"/>
    <n v="0.5"/>
    <n v="0.5"/>
    <n v="5"/>
    <x v="0"/>
    <n v="0"/>
    <n v="0"/>
    <n v="28"/>
    <n v="76"/>
    <n v="0"/>
    <n v="609.05999999999995"/>
    <n v="119.97"/>
    <m/>
    <n v="614.27335522224178"/>
    <n v="108.66738728357376"/>
    <n v="0"/>
    <n v="304.52999999999997"/>
    <n v="59.984999999999999"/>
    <n v="0"/>
    <n v="307.13667761112089"/>
    <n v="54.33369364178688"/>
  </r>
  <r>
    <s v="Regular"/>
    <x v="3"/>
    <x v="2"/>
    <x v="4"/>
    <x v="1"/>
    <x v="0"/>
    <x v="0"/>
    <x v="2"/>
    <x v="1"/>
    <n v="0"/>
    <n v="0"/>
    <n v="96.47"/>
    <n v="96.47"/>
    <n v="96.47"/>
    <n v="96.47"/>
    <n v="277"/>
    <x v="0"/>
    <n v="0"/>
    <n v="0"/>
    <n v="28"/>
    <n v="76"/>
    <n v="0"/>
    <n v="609.05999999999995"/>
    <n v="119.97"/>
    <m/>
    <n v="614.27335522224178"/>
    <n v="108.66738728357376"/>
    <n v="0"/>
    <n v="58756.018199999991"/>
    <n v="11573.5059"/>
    <n v="0"/>
    <n v="59258.950578289667"/>
    <n v="10483.142851246361"/>
  </r>
  <r>
    <s v="Sistema de Compensação"/>
    <x v="3"/>
    <x v="2"/>
    <x v="4"/>
    <x v="1"/>
    <x v="0"/>
    <x v="0"/>
    <x v="2"/>
    <x v="1"/>
    <n v="0"/>
    <n v="0"/>
    <n v="0.69199999999999995"/>
    <n v="0.69199999999999995"/>
    <n v="0.69199999999999995"/>
    <n v="0.69199999999999995"/>
    <n v="6"/>
    <x v="0"/>
    <n v="0"/>
    <n v="0"/>
    <n v="28"/>
    <n v="76"/>
    <n v="0"/>
    <n v="609.05999999999995"/>
    <n v="119.97"/>
    <m/>
    <n v="614.27335522224178"/>
    <n v="108.66738728357376"/>
    <n v="0"/>
    <n v="421.46951999999993"/>
    <n v="83.019239999999996"/>
    <n v="0"/>
    <n v="425.07716181379129"/>
    <n v="75.197832000233035"/>
  </r>
  <r>
    <s v="Regular"/>
    <x v="3"/>
    <x v="2"/>
    <x v="4"/>
    <x v="1"/>
    <x v="0"/>
    <x v="0"/>
    <x v="2"/>
    <x v="2"/>
    <n v="0"/>
    <n v="0"/>
    <n v="99.683000000000007"/>
    <n v="99.683000000000007"/>
    <n v="99.683000000000007"/>
    <n v="99.683000000000007"/>
    <n v="278"/>
    <x v="0"/>
    <n v="0"/>
    <n v="0"/>
    <n v="28"/>
    <n v="76"/>
    <n v="0"/>
    <n v="609.05999999999995"/>
    <n v="119.97"/>
    <m/>
    <n v="614.27335522224178"/>
    <n v="108.66738728357376"/>
    <n v="0"/>
    <n v="60712.92798"/>
    <n v="11958.969510000001"/>
    <n v="0"/>
    <n v="61232.610868618729"/>
    <n v="10832.291166588484"/>
  </r>
  <r>
    <s v="Regular"/>
    <x v="3"/>
    <x v="2"/>
    <x v="4"/>
    <x v="1"/>
    <x v="0"/>
    <x v="0"/>
    <x v="2"/>
    <x v="3"/>
    <n v="0"/>
    <n v="0"/>
    <n v="98.341999999999999"/>
    <n v="98.341999999999999"/>
    <n v="98.341999999999999"/>
    <n v="98.341999999999999"/>
    <n v="274"/>
    <x v="0"/>
    <n v="0"/>
    <n v="0"/>
    <n v="28"/>
    <n v="76"/>
    <n v="0"/>
    <n v="609.05999999999995"/>
    <n v="119.97"/>
    <m/>
    <n v="614.27335522224178"/>
    <n v="108.66738728357376"/>
    <n v="0"/>
    <n v="59896.178519999994"/>
    <n v="11798.089739999999"/>
    <n v="0"/>
    <n v="60408.870299265698"/>
    <n v="10686.56820024121"/>
  </r>
  <r>
    <s v="Sistema de Compensação"/>
    <x v="3"/>
    <x v="2"/>
    <x v="4"/>
    <x v="1"/>
    <x v="0"/>
    <x v="0"/>
    <x v="2"/>
    <x v="3"/>
    <n v="0"/>
    <n v="0"/>
    <n v="0.80700000000000005"/>
    <n v="0.80700000000000005"/>
    <n v="0.80700000000000005"/>
    <n v="0.80700000000000005"/>
    <n v="6"/>
    <x v="0"/>
    <n v="0"/>
    <n v="0"/>
    <n v="28"/>
    <n v="76"/>
    <n v="0"/>
    <n v="609.05999999999995"/>
    <n v="119.97"/>
    <m/>
    <n v="614.27335522224178"/>
    <n v="108.66738728357376"/>
    <n v="0"/>
    <n v="491.51141999999999"/>
    <n v="96.815790000000007"/>
    <n v="0"/>
    <n v="495.71859766434915"/>
    <n v="87.69458153784403"/>
  </r>
  <r>
    <s v="Regular"/>
    <x v="3"/>
    <x v="2"/>
    <x v="4"/>
    <x v="1"/>
    <x v="0"/>
    <x v="0"/>
    <x v="2"/>
    <x v="4"/>
    <n v="0"/>
    <n v="0"/>
    <n v="90.893000000000001"/>
    <n v="90.893000000000001"/>
    <n v="90.893000000000001"/>
    <n v="90.893000000000001"/>
    <n v="267"/>
    <x v="0"/>
    <n v="0"/>
    <n v="0"/>
    <n v="28"/>
    <n v="76"/>
    <n v="0"/>
    <n v="609.05999999999995"/>
    <n v="119.97"/>
    <m/>
    <n v="614.27335522224178"/>
    <n v="108.66738728357376"/>
    <n v="0"/>
    <n v="55359.290579999993"/>
    <n v="10904.433209999999"/>
    <n v="0"/>
    <n v="55833.14807621522"/>
    <n v="9877.1048323658706"/>
  </r>
  <r>
    <s v="Sistema de Compensação"/>
    <x v="3"/>
    <x v="2"/>
    <x v="4"/>
    <x v="1"/>
    <x v="0"/>
    <x v="0"/>
    <x v="2"/>
    <x v="4"/>
    <n v="0"/>
    <n v="0"/>
    <n v="15.837"/>
    <n v="15.837"/>
    <n v="15.837"/>
    <n v="15.837"/>
    <n v="8"/>
    <x v="0"/>
    <n v="0"/>
    <n v="0"/>
    <n v="28"/>
    <n v="76"/>
    <n v="0"/>
    <n v="609.05999999999995"/>
    <n v="119.97"/>
    <m/>
    <n v="614.27335522224178"/>
    <n v="108.66738728357376"/>
    <n v="0"/>
    <n v="9645.683219999999"/>
    <n v="1899.96489"/>
    <n v="0"/>
    <n v="9728.2471266546436"/>
    <n v="1720.9654124099577"/>
  </r>
  <r>
    <s v="Regular"/>
    <x v="3"/>
    <x v="2"/>
    <x v="4"/>
    <x v="1"/>
    <x v="0"/>
    <x v="0"/>
    <x v="2"/>
    <x v="5"/>
    <n v="0"/>
    <n v="0"/>
    <n v="104.35299999999999"/>
    <n v="104.35299999999999"/>
    <n v="104.35299999999999"/>
    <n v="104.35299999999999"/>
    <n v="267"/>
    <x v="0"/>
    <n v="0"/>
    <n v="0"/>
    <n v="28"/>
    <n v="76"/>
    <n v="0"/>
    <n v="609.05999999999995"/>
    <n v="119.97"/>
    <m/>
    <n v="614.27335522224178"/>
    <n v="108.66738728357376"/>
    <n v="0"/>
    <n v="63557.238179999993"/>
    <n v="12519.22941"/>
    <n v="0"/>
    <n v="64101.267437506591"/>
    <n v="11339.767865202772"/>
  </r>
  <r>
    <s v="Refaturamento - Regular"/>
    <x v="3"/>
    <x v="2"/>
    <x v="4"/>
    <x v="1"/>
    <x v="0"/>
    <x v="0"/>
    <x v="2"/>
    <x v="5"/>
    <n v="0"/>
    <n v="0"/>
    <n v="-5.2809999999999997"/>
    <n v="-5.2809999999999997"/>
    <n v="-5.2809999999999997"/>
    <n v="-5.2809999999999997"/>
    <n v="0"/>
    <x v="0"/>
    <n v="0"/>
    <n v="0"/>
    <n v="28"/>
    <n v="76"/>
    <n v="0"/>
    <n v="609.05999999999995"/>
    <n v="119.97"/>
    <m/>
    <n v="614.27335522224178"/>
    <n v="108.66738728357376"/>
    <n v="0"/>
    <n v="-3216.4458599999994"/>
    <n v="-633.56156999999996"/>
    <n v="0"/>
    <n v="-3243.9775889286584"/>
    <n v="-573.87247224455302"/>
  </r>
  <r>
    <s v="Sistema de Compensação"/>
    <x v="3"/>
    <x v="2"/>
    <x v="4"/>
    <x v="1"/>
    <x v="0"/>
    <x v="0"/>
    <x v="2"/>
    <x v="5"/>
    <n v="0"/>
    <n v="0"/>
    <n v="20.271000000000001"/>
    <n v="20.271000000000001"/>
    <n v="20.271000000000001"/>
    <n v="20.271000000000001"/>
    <n v="8"/>
    <x v="0"/>
    <n v="0"/>
    <n v="0"/>
    <n v="28"/>
    <n v="76"/>
    <n v="0"/>
    <n v="609.05999999999995"/>
    <n v="119.97"/>
    <m/>
    <n v="614.27335522224178"/>
    <n v="108.66738728357376"/>
    <n v="0"/>
    <n v="12346.25526"/>
    <n v="2431.9118699999999"/>
    <n v="0"/>
    <n v="12451.935183710064"/>
    <n v="2202.7966076253238"/>
  </r>
  <r>
    <s v="Regular"/>
    <x v="3"/>
    <x v="2"/>
    <x v="4"/>
    <x v="1"/>
    <x v="0"/>
    <x v="0"/>
    <x v="2"/>
    <x v="6"/>
    <n v="0"/>
    <n v="0"/>
    <n v="94.872"/>
    <n v="94.872"/>
    <n v="94.872"/>
    <n v="94.872"/>
    <n v="266"/>
    <x v="0"/>
    <n v="0"/>
    <n v="0"/>
    <n v="28"/>
    <n v="76"/>
    <n v="0"/>
    <n v="609.05999999999995"/>
    <n v="119.97"/>
    <m/>
    <n v="614.27335522224178"/>
    <n v="108.66738728357376"/>
    <n v="0"/>
    <n v="57782.740319999997"/>
    <n v="11381.79384"/>
    <n v="0"/>
    <n v="58277.341756644521"/>
    <n v="10309.492366367209"/>
  </r>
  <r>
    <s v="Sistema de Compensação"/>
    <x v="3"/>
    <x v="2"/>
    <x v="4"/>
    <x v="1"/>
    <x v="0"/>
    <x v="0"/>
    <x v="2"/>
    <x v="6"/>
    <n v="0"/>
    <n v="0"/>
    <n v="19.905000000000001"/>
    <n v="19.905000000000001"/>
    <n v="19.905000000000001"/>
    <n v="19.905000000000001"/>
    <n v="8"/>
    <x v="0"/>
    <n v="0"/>
    <n v="0"/>
    <n v="28"/>
    <n v="76"/>
    <n v="0"/>
    <n v="609.05999999999995"/>
    <n v="119.97"/>
    <m/>
    <n v="614.27335522224178"/>
    <n v="108.66738728357376"/>
    <n v="0"/>
    <n v="12123.3393"/>
    <n v="2388.0028500000003"/>
    <n v="0"/>
    <n v="12227.111135698724"/>
    <n v="2163.024343879536"/>
  </r>
  <r>
    <s v="Regular"/>
    <x v="3"/>
    <x v="2"/>
    <x v="4"/>
    <x v="1"/>
    <x v="0"/>
    <x v="0"/>
    <x v="2"/>
    <x v="7"/>
    <n v="0"/>
    <n v="0"/>
    <n v="86.762"/>
    <n v="86.762"/>
    <n v="86.762"/>
    <n v="86.762"/>
    <n v="265"/>
    <x v="0"/>
    <n v="0"/>
    <n v="0"/>
    <n v="28"/>
    <n v="76"/>
    <n v="0"/>
    <n v="609.05999999999995"/>
    <n v="119.97"/>
    <m/>
    <n v="614.27335522224178"/>
    <n v="108.66738728357376"/>
    <n v="0"/>
    <n v="52843.263719999995"/>
    <n v="10408.83714"/>
    <n v="0"/>
    <n v="53295.584845792138"/>
    <n v="9428.1998554974271"/>
  </r>
  <r>
    <s v="Refaturamento - Regular"/>
    <x v="3"/>
    <x v="2"/>
    <x v="4"/>
    <x v="1"/>
    <x v="0"/>
    <x v="0"/>
    <x v="2"/>
    <x v="7"/>
    <n v="0"/>
    <n v="0"/>
    <n v="-0.32900000000000001"/>
    <n v="-0.32900000000000001"/>
    <n v="-0.32900000000000001"/>
    <n v="-0.32900000000000001"/>
    <n v="0"/>
    <x v="0"/>
    <n v="0"/>
    <n v="0"/>
    <n v="28"/>
    <n v="76"/>
    <n v="0"/>
    <n v="609.05999999999995"/>
    <n v="119.97"/>
    <m/>
    <n v="614.27335522224178"/>
    <n v="108.66738728357376"/>
    <n v="0"/>
    <n v="-200.38074"/>
    <n v="-39.470130000000005"/>
    <n v="0"/>
    <n v="-202.09593386811756"/>
    <n v="-35.75157041629577"/>
  </r>
  <r>
    <s v="Sistema de Compensação"/>
    <x v="3"/>
    <x v="2"/>
    <x v="4"/>
    <x v="1"/>
    <x v="0"/>
    <x v="0"/>
    <x v="2"/>
    <x v="7"/>
    <n v="0"/>
    <n v="0"/>
    <n v="11.178000000000001"/>
    <n v="11.178000000000001"/>
    <n v="11.178000000000001"/>
    <n v="11.178000000000001"/>
    <n v="8"/>
    <x v="0"/>
    <n v="0"/>
    <n v="0"/>
    <n v="28"/>
    <n v="76"/>
    <n v="0"/>
    <n v="609.05999999999995"/>
    <n v="119.97"/>
    <m/>
    <n v="614.27335522224178"/>
    <n v="108.66738728357376"/>
    <n v="0"/>
    <n v="6808.0726800000002"/>
    <n v="1341.02466"/>
    <n v="0"/>
    <n v="6866.347564674219"/>
    <n v="1214.6840550557877"/>
  </r>
  <r>
    <s v="Regular"/>
    <x v="3"/>
    <x v="2"/>
    <x v="4"/>
    <x v="1"/>
    <x v="0"/>
    <x v="0"/>
    <x v="2"/>
    <x v="8"/>
    <n v="0"/>
    <n v="0"/>
    <n v="83.935000000000002"/>
    <n v="83.935000000000002"/>
    <n v="83.935000000000002"/>
    <n v="83.935000000000002"/>
    <n v="262"/>
    <x v="0"/>
    <n v="0"/>
    <n v="0"/>
    <n v="28"/>
    <n v="76"/>
    <n v="0"/>
    <n v="609.05999999999995"/>
    <n v="119.97"/>
    <m/>
    <n v="614.27335522224178"/>
    <n v="108.66738728357376"/>
    <n v="0"/>
    <n v="51121.451099999998"/>
    <n v="10069.68195"/>
    <n v="0"/>
    <n v="51559.034070578862"/>
    <n v="9120.9971516467631"/>
  </r>
  <r>
    <s v="Sistema de Compensação"/>
    <x v="3"/>
    <x v="2"/>
    <x v="4"/>
    <x v="1"/>
    <x v="0"/>
    <x v="0"/>
    <x v="2"/>
    <x v="8"/>
    <n v="0"/>
    <n v="0"/>
    <n v="10.384"/>
    <n v="10.384"/>
    <n v="10.384"/>
    <n v="10.384"/>
    <n v="8"/>
    <x v="0"/>
    <n v="0"/>
    <n v="0"/>
    <n v="28"/>
    <n v="76"/>
    <n v="0"/>
    <n v="609.05999999999995"/>
    <n v="119.97"/>
    <m/>
    <n v="614.27335522224178"/>
    <n v="108.66738728357376"/>
    <n v="0"/>
    <n v="6324.4790399999993"/>
    <n v="1245.76848"/>
    <n v="0"/>
    <n v="6378.6145206277588"/>
    <n v="1128.4021495526299"/>
  </r>
  <r>
    <s v="Regular"/>
    <x v="3"/>
    <x v="2"/>
    <x v="4"/>
    <x v="1"/>
    <x v="0"/>
    <x v="0"/>
    <x v="2"/>
    <x v="9"/>
    <n v="0"/>
    <n v="0"/>
    <n v="84.881"/>
    <n v="84.881"/>
    <n v="84.881"/>
    <n v="84.881"/>
    <n v="263"/>
    <x v="0"/>
    <n v="0"/>
    <n v="0"/>
    <n v="28"/>
    <n v="76"/>
    <n v="0"/>
    <n v="609.05999999999995"/>
    <n v="119.97"/>
    <m/>
    <n v="614.27335522224178"/>
    <n v="108.66738728357376"/>
    <n v="0"/>
    <n v="51697.621859999992"/>
    <n v="10183.173570000001"/>
    <n v="0"/>
    <n v="52140.136664619102"/>
    <n v="9223.7965000170243"/>
  </r>
  <r>
    <s v="Refaturamento - Regular"/>
    <x v="3"/>
    <x v="2"/>
    <x v="4"/>
    <x v="1"/>
    <x v="0"/>
    <x v="0"/>
    <x v="2"/>
    <x v="9"/>
    <n v="0"/>
    <n v="0"/>
    <n v="-2.4289999999999998"/>
    <n v="-2.4289999999999998"/>
    <n v="-2.4289999999999998"/>
    <n v="-2.4289999999999998"/>
    <n v="0"/>
    <x v="0"/>
    <n v="0"/>
    <n v="0"/>
    <n v="28"/>
    <n v="76"/>
    <n v="0"/>
    <n v="609.05999999999995"/>
    <n v="119.97"/>
    <m/>
    <n v="614.27335522224178"/>
    <n v="108.66738728357376"/>
    <n v="0"/>
    <n v="-1479.4067399999997"/>
    <n v="-291.40713"/>
    <n v="0"/>
    <n v="-1492.0699798348251"/>
    <n v="-263.95308371180062"/>
  </r>
  <r>
    <s v="Sistema de Compensação"/>
    <x v="3"/>
    <x v="2"/>
    <x v="4"/>
    <x v="1"/>
    <x v="0"/>
    <x v="0"/>
    <x v="2"/>
    <x v="9"/>
    <n v="0"/>
    <n v="0"/>
    <n v="16.899999999999999"/>
    <n v="16.899999999999999"/>
    <n v="16.899999999999999"/>
    <n v="16.899999999999999"/>
    <n v="8"/>
    <x v="0"/>
    <n v="0"/>
    <n v="0"/>
    <n v="28"/>
    <n v="76"/>
    <n v="0"/>
    <n v="609.05999999999995"/>
    <n v="119.97"/>
    <m/>
    <n v="614.27335522224178"/>
    <n v="108.66738728357376"/>
    <n v="0"/>
    <n v="10293.113999999998"/>
    <n v="2027.4929999999997"/>
    <n v="0"/>
    <n v="10381.219703255885"/>
    <n v="1836.4788450923963"/>
  </r>
  <r>
    <s v="Regular"/>
    <x v="3"/>
    <x v="2"/>
    <x v="4"/>
    <x v="1"/>
    <x v="0"/>
    <x v="0"/>
    <x v="2"/>
    <x v="10"/>
    <n v="0"/>
    <n v="0"/>
    <n v="78.19"/>
    <n v="78.19"/>
    <n v="78.19"/>
    <n v="78.19"/>
    <n v="265"/>
    <x v="0"/>
    <n v="0"/>
    <n v="0"/>
    <n v="28"/>
    <n v="76"/>
    <n v="0"/>
    <n v="609.05999999999995"/>
    <n v="119.97"/>
    <m/>
    <n v="614.27335522224178"/>
    <n v="108.66738728357376"/>
    <n v="0"/>
    <n v="47622.401399999995"/>
    <n v="9380.4542999999994"/>
    <n v="0"/>
    <n v="48030.033644827083"/>
    <n v="8496.7030117026316"/>
  </r>
  <r>
    <s v="Sistema de Compensação"/>
    <x v="3"/>
    <x v="2"/>
    <x v="4"/>
    <x v="1"/>
    <x v="0"/>
    <x v="0"/>
    <x v="2"/>
    <x v="10"/>
    <n v="0"/>
    <n v="0"/>
    <n v="12.518000000000001"/>
    <n v="12.518000000000001"/>
    <n v="12.518000000000001"/>
    <n v="12.518000000000001"/>
    <n v="8"/>
    <x v="0"/>
    <n v="0"/>
    <n v="0"/>
    <n v="28"/>
    <n v="76"/>
    <n v="0"/>
    <n v="609.05999999999995"/>
    <n v="119.97"/>
    <m/>
    <n v="614.27335522224178"/>
    <n v="108.66738728357376"/>
    <n v="0"/>
    <n v="7624.2130799999995"/>
    <n v="1501.7844600000001"/>
    <n v="0"/>
    <n v="7689.473860672023"/>
    <n v="1360.2983540157763"/>
  </r>
  <r>
    <s v="PROJETADO"/>
    <x v="3"/>
    <x v="2"/>
    <x v="4"/>
    <x v="1"/>
    <x v="0"/>
    <x v="0"/>
    <x v="2"/>
    <x v="11"/>
    <n v="0"/>
    <n v="0"/>
    <n v="78.19"/>
    <n v="78.19"/>
    <n v="78.19"/>
    <n v="78.19"/>
    <n v="265"/>
    <x v="0"/>
    <n v="0"/>
    <n v="0"/>
    <n v="28"/>
    <n v="76"/>
    <n v="0"/>
    <n v="609.05999999999995"/>
    <n v="119.97"/>
    <m/>
    <n v="614.27335522224178"/>
    <n v="108.66738728357376"/>
    <n v="0"/>
    <n v="47622.401399999995"/>
    <n v="9380.4542999999994"/>
    <n v="0"/>
    <n v="48030.033644827083"/>
    <n v="8496.7030117026316"/>
  </r>
  <r>
    <s v="PROJETADO"/>
    <x v="3"/>
    <x v="2"/>
    <x v="4"/>
    <x v="1"/>
    <x v="0"/>
    <x v="0"/>
    <x v="2"/>
    <x v="11"/>
    <n v="0"/>
    <n v="0"/>
    <n v="12.518000000000001"/>
    <n v="12.518000000000001"/>
    <n v="12.518000000000001"/>
    <n v="12.518000000000001"/>
    <n v="8"/>
    <x v="0"/>
    <n v="0"/>
    <n v="0"/>
    <n v="28"/>
    <n v="76"/>
    <n v="0"/>
    <n v="609.05999999999995"/>
    <n v="119.97"/>
    <m/>
    <n v="614.27335522224178"/>
    <n v="108.66738728357376"/>
    <n v="0"/>
    <n v="7624.2130799999995"/>
    <n v="1501.7844600000001"/>
    <n v="0"/>
    <n v="7689.473860672023"/>
    <n v="1360.2983540157763"/>
  </r>
  <r>
    <s v="Regular"/>
    <x v="3"/>
    <x v="2"/>
    <x v="5"/>
    <x v="1"/>
    <x v="0"/>
    <x v="0"/>
    <x v="2"/>
    <x v="0"/>
    <n v="0"/>
    <n v="0"/>
    <n v="3.7549999999999999"/>
    <n v="3.7549999999999999"/>
    <n v="3.7549999999999999"/>
    <n v="3.7549999999999999"/>
    <n v="4"/>
    <x v="0"/>
    <n v="0"/>
    <n v="0"/>
    <n v="28"/>
    <n v="76"/>
    <n v="0"/>
    <n v="609.05999999999995"/>
    <n v="119.97"/>
    <m/>
    <n v="614.27335522224178"/>
    <n v="108.66738728357376"/>
    <n v="0"/>
    <n v="2287.0202999999997"/>
    <n v="450.48734999999999"/>
    <n v="0"/>
    <n v="2306.5964488595177"/>
    <n v="408.04603924981944"/>
  </r>
  <r>
    <s v="Regular"/>
    <x v="3"/>
    <x v="2"/>
    <x v="1"/>
    <x v="1"/>
    <x v="0"/>
    <x v="0"/>
    <x v="2"/>
    <x v="0"/>
    <n v="0"/>
    <n v="0"/>
    <n v="127.378"/>
    <n v="127.378"/>
    <n v="127.378"/>
    <n v="127.378"/>
    <n v="70"/>
    <x v="0"/>
    <n v="0"/>
    <n v="0"/>
    <n v="28"/>
    <n v="76"/>
    <n v="0"/>
    <n v="609.05999999999995"/>
    <n v="119.97"/>
    <m/>
    <n v="614.27335522224178"/>
    <n v="108.66738728357376"/>
    <n v="0"/>
    <n v="77580.844679999995"/>
    <n v="15281.53866"/>
    <n v="0"/>
    <n v="78244.911441498713"/>
    <n v="13841.834457407058"/>
  </r>
  <r>
    <s v="Sistema de Compensação"/>
    <x v="3"/>
    <x v="2"/>
    <x v="1"/>
    <x v="1"/>
    <x v="0"/>
    <x v="0"/>
    <x v="2"/>
    <x v="0"/>
    <n v="0"/>
    <n v="0"/>
    <n v="9.3699999999999992"/>
    <n v="9.3699999999999992"/>
    <n v="9.3699999999999992"/>
    <n v="9.3699999999999992"/>
    <n v="4"/>
    <x v="0"/>
    <n v="0"/>
    <n v="0"/>
    <n v="28"/>
    <n v="76"/>
    <n v="0"/>
    <n v="609.05999999999995"/>
    <n v="119.97"/>
    <m/>
    <n v="614.27335522224178"/>
    <n v="108.66738728357376"/>
    <n v="0"/>
    <n v="5706.8921999999993"/>
    <n v="1124.1188999999999"/>
    <n v="0"/>
    <n v="5755.7413384324045"/>
    <n v="1018.213418847086"/>
  </r>
  <r>
    <s v="Regular"/>
    <x v="3"/>
    <x v="2"/>
    <x v="1"/>
    <x v="1"/>
    <x v="0"/>
    <x v="0"/>
    <x v="2"/>
    <x v="1"/>
    <n v="0"/>
    <n v="0"/>
    <n v="151.34899999999999"/>
    <n v="151.34899999999999"/>
    <n v="151.34899999999999"/>
    <n v="151.34899999999999"/>
    <n v="69"/>
    <x v="0"/>
    <n v="0"/>
    <n v="0"/>
    <n v="28"/>
    <n v="76"/>
    <n v="0"/>
    <n v="609.05999999999995"/>
    <n v="119.97"/>
    <m/>
    <n v="614.27335522224178"/>
    <n v="108.66738728357376"/>
    <n v="0"/>
    <n v="92180.621939999983"/>
    <n v="18157.339529999997"/>
    <n v="0"/>
    <n v="92969.658039531059"/>
    <n v="16446.700397981604"/>
  </r>
  <r>
    <s v="Sistema de Compensação"/>
    <x v="3"/>
    <x v="2"/>
    <x v="1"/>
    <x v="1"/>
    <x v="0"/>
    <x v="0"/>
    <x v="2"/>
    <x v="1"/>
    <n v="0"/>
    <n v="0"/>
    <n v="7.5279999999999996"/>
    <n v="7.5279999999999996"/>
    <n v="7.5279999999999996"/>
    <n v="7.5279999999999996"/>
    <n v="4"/>
    <x v="0"/>
    <n v="0"/>
    <n v="0"/>
    <n v="28"/>
    <n v="76"/>
    <n v="0"/>
    <n v="609.05999999999995"/>
    <n v="119.97"/>
    <m/>
    <n v="614.27335522224178"/>
    <n v="108.66738728357376"/>
    <n v="0"/>
    <n v="4585.0036799999989"/>
    <n v="903.13415999999995"/>
    <n v="0"/>
    <n v="4624.2498181130359"/>
    <n v="818.0480914707432"/>
  </r>
  <r>
    <s v="Regular"/>
    <x v="3"/>
    <x v="2"/>
    <x v="1"/>
    <x v="1"/>
    <x v="0"/>
    <x v="0"/>
    <x v="2"/>
    <x v="2"/>
    <n v="0"/>
    <n v="0"/>
    <n v="132.26499999999999"/>
    <n v="132.26499999999999"/>
    <n v="132.26499999999999"/>
    <n v="132.26499999999999"/>
    <n v="68"/>
    <x v="0"/>
    <n v="0"/>
    <n v="0"/>
    <n v="28"/>
    <n v="76"/>
    <n v="0"/>
    <n v="609.05999999999995"/>
    <n v="119.97"/>
    <m/>
    <n v="614.27335522224178"/>
    <n v="108.66738728357376"/>
    <n v="0"/>
    <n v="80557.320899999992"/>
    <n v="15867.832049999999"/>
    <n v="0"/>
    <n v="81246.865328469794"/>
    <n v="14372.891979061882"/>
  </r>
  <r>
    <s v="Regular"/>
    <x v="3"/>
    <x v="2"/>
    <x v="1"/>
    <x v="1"/>
    <x v="0"/>
    <x v="0"/>
    <x v="2"/>
    <x v="3"/>
    <n v="0"/>
    <n v="0"/>
    <n v="118.005"/>
    <n v="118.005"/>
    <n v="118.005"/>
    <n v="118.005"/>
    <n v="65"/>
    <x v="0"/>
    <n v="0"/>
    <n v="0"/>
    <n v="28"/>
    <n v="76"/>
    <n v="0"/>
    <n v="609.05999999999995"/>
    <n v="119.97"/>
    <m/>
    <n v="614.27335522224178"/>
    <n v="108.66738728357376"/>
    <n v="0"/>
    <n v="71872.125299999985"/>
    <n v="14157.05985"/>
    <n v="0"/>
    <n v="72487.327283000632"/>
    <n v="12823.295036398122"/>
  </r>
  <r>
    <s v="Sistema de Compensação"/>
    <x v="3"/>
    <x v="2"/>
    <x v="1"/>
    <x v="1"/>
    <x v="0"/>
    <x v="0"/>
    <x v="2"/>
    <x v="3"/>
    <n v="0"/>
    <n v="0"/>
    <n v="0.2"/>
    <n v="0.2"/>
    <n v="0.2"/>
    <n v="0.2"/>
    <n v="2"/>
    <x v="0"/>
    <n v="0"/>
    <n v="0"/>
    <n v="28"/>
    <n v="76"/>
    <n v="0"/>
    <n v="609.05999999999995"/>
    <n v="119.97"/>
    <m/>
    <n v="614.27335522224178"/>
    <n v="108.66738728357376"/>
    <n v="0"/>
    <n v="121.812"/>
    <n v="23.994"/>
    <n v="0"/>
    <n v="122.85467104444837"/>
    <n v="21.733477456714752"/>
  </r>
  <r>
    <s v="Regular"/>
    <x v="3"/>
    <x v="2"/>
    <x v="1"/>
    <x v="1"/>
    <x v="0"/>
    <x v="0"/>
    <x v="2"/>
    <x v="4"/>
    <n v="0"/>
    <n v="0"/>
    <n v="97.156999999999996"/>
    <n v="97.156999999999996"/>
    <n v="97.156999999999996"/>
    <n v="97.156999999999996"/>
    <n v="65"/>
    <x v="0"/>
    <n v="0"/>
    <n v="0"/>
    <n v="28"/>
    <n v="76"/>
    <n v="0"/>
    <n v="609.05999999999995"/>
    <n v="119.97"/>
    <m/>
    <n v="614.27335522224178"/>
    <n v="108.66738728357376"/>
    <n v="0"/>
    <n v="59174.442419999992"/>
    <n v="11655.925289999999"/>
    <n v="0"/>
    <n v="59680.956373327339"/>
    <n v="10557.797346310175"/>
  </r>
  <r>
    <s v="Sistema de Compensação"/>
    <x v="3"/>
    <x v="2"/>
    <x v="1"/>
    <x v="1"/>
    <x v="0"/>
    <x v="0"/>
    <x v="2"/>
    <x v="4"/>
    <n v="0"/>
    <n v="0"/>
    <n v="0.2"/>
    <n v="0.2"/>
    <n v="0.2"/>
    <n v="0.2"/>
    <n v="2"/>
    <x v="0"/>
    <n v="0"/>
    <n v="0"/>
    <n v="28"/>
    <n v="76"/>
    <n v="0"/>
    <n v="609.05999999999995"/>
    <n v="119.97"/>
    <m/>
    <n v="614.27335522224178"/>
    <n v="108.66738728357376"/>
    <n v="0"/>
    <n v="121.812"/>
    <n v="23.994"/>
    <n v="0"/>
    <n v="122.85467104444837"/>
    <n v="21.733477456714752"/>
  </r>
  <r>
    <s v="Regular"/>
    <x v="3"/>
    <x v="2"/>
    <x v="1"/>
    <x v="1"/>
    <x v="0"/>
    <x v="0"/>
    <x v="2"/>
    <x v="5"/>
    <n v="0"/>
    <n v="0"/>
    <n v="141.63800000000001"/>
    <n v="141.63800000000001"/>
    <n v="141.63800000000001"/>
    <n v="141.63800000000001"/>
    <n v="66"/>
    <x v="0"/>
    <n v="0"/>
    <n v="0"/>
    <n v="28"/>
    <n v="76"/>
    <n v="0"/>
    <n v="609.05999999999995"/>
    <n v="119.97"/>
    <m/>
    <n v="614.27335522224178"/>
    <n v="108.66738728357376"/>
    <n v="0"/>
    <n v="86266.040280000001"/>
    <n v="16992.310860000001"/>
    <n v="0"/>
    <n v="87004.449486967889"/>
    <n v="15391.43140007082"/>
  </r>
  <r>
    <s v="Sistema de Compensação"/>
    <x v="3"/>
    <x v="2"/>
    <x v="1"/>
    <x v="1"/>
    <x v="0"/>
    <x v="0"/>
    <x v="2"/>
    <x v="5"/>
    <n v="0"/>
    <n v="0"/>
    <n v="0.2"/>
    <n v="0.2"/>
    <n v="0.2"/>
    <n v="0.2"/>
    <n v="2"/>
    <x v="0"/>
    <n v="0"/>
    <n v="0"/>
    <n v="28"/>
    <n v="76"/>
    <n v="0"/>
    <n v="609.05999999999995"/>
    <n v="119.97"/>
    <m/>
    <n v="614.27335522224178"/>
    <n v="108.66738728357376"/>
    <n v="0"/>
    <n v="121.812"/>
    <n v="23.994"/>
    <n v="0"/>
    <n v="122.85467104444837"/>
    <n v="21.733477456714752"/>
  </r>
  <r>
    <s v="Regular"/>
    <x v="3"/>
    <x v="2"/>
    <x v="1"/>
    <x v="1"/>
    <x v="0"/>
    <x v="0"/>
    <x v="2"/>
    <x v="6"/>
    <n v="0"/>
    <n v="0"/>
    <n v="128.958"/>
    <n v="128.958"/>
    <n v="128.958"/>
    <n v="128.958"/>
    <n v="67"/>
    <x v="0"/>
    <n v="0"/>
    <n v="0"/>
    <n v="28"/>
    <n v="76"/>
    <n v="0"/>
    <n v="609.05999999999995"/>
    <n v="119.97"/>
    <m/>
    <n v="614.27335522224178"/>
    <n v="108.66738728357376"/>
    <n v="0"/>
    <n v="78543.159479999988"/>
    <n v="15471.091259999999"/>
    <n v="0"/>
    <n v="79215.463342749848"/>
    <n v="14013.528929315105"/>
  </r>
  <r>
    <s v="Sistema de Compensação"/>
    <x v="3"/>
    <x v="2"/>
    <x v="1"/>
    <x v="1"/>
    <x v="0"/>
    <x v="0"/>
    <x v="2"/>
    <x v="6"/>
    <n v="0"/>
    <n v="0"/>
    <n v="0.2"/>
    <n v="0.2"/>
    <n v="0.2"/>
    <n v="0.2"/>
    <n v="2"/>
    <x v="0"/>
    <n v="0"/>
    <n v="0"/>
    <n v="28"/>
    <n v="76"/>
    <n v="0"/>
    <n v="609.05999999999995"/>
    <n v="119.97"/>
    <m/>
    <n v="614.27335522224178"/>
    <n v="108.66738728357376"/>
    <n v="0"/>
    <n v="121.812"/>
    <n v="23.994"/>
    <n v="0"/>
    <n v="122.85467104444837"/>
    <n v="21.733477456714752"/>
  </r>
  <r>
    <s v="Regular"/>
    <x v="3"/>
    <x v="2"/>
    <x v="1"/>
    <x v="1"/>
    <x v="0"/>
    <x v="0"/>
    <x v="2"/>
    <x v="7"/>
    <n v="0"/>
    <n v="0"/>
    <n v="139.82900000000001"/>
    <n v="139.82900000000001"/>
    <n v="139.82900000000001"/>
    <n v="139.82900000000001"/>
    <n v="67"/>
    <x v="0"/>
    <n v="0"/>
    <n v="0"/>
    <n v="28"/>
    <n v="76"/>
    <n v="0"/>
    <n v="609.05999999999995"/>
    <n v="119.97"/>
    <m/>
    <n v="614.27335522224178"/>
    <n v="108.66738728357376"/>
    <n v="0"/>
    <n v="85164.250740000003"/>
    <n v="16775.28513"/>
    <n v="0"/>
    <n v="85893.228987370851"/>
    <n v="15194.852096474837"/>
  </r>
  <r>
    <s v="Sistema de Compensação"/>
    <x v="3"/>
    <x v="2"/>
    <x v="1"/>
    <x v="1"/>
    <x v="0"/>
    <x v="0"/>
    <x v="2"/>
    <x v="7"/>
    <n v="0"/>
    <n v="0"/>
    <n v="0.2"/>
    <n v="0.2"/>
    <n v="0.2"/>
    <n v="0.2"/>
    <n v="2"/>
    <x v="0"/>
    <n v="0"/>
    <n v="0"/>
    <n v="28"/>
    <n v="76"/>
    <n v="0"/>
    <n v="609.05999999999995"/>
    <n v="119.97"/>
    <m/>
    <n v="614.27335522224178"/>
    <n v="108.66738728357376"/>
    <n v="0"/>
    <n v="121.812"/>
    <n v="23.994"/>
    <n v="0"/>
    <n v="122.85467104444837"/>
    <n v="21.733477456714752"/>
  </r>
  <r>
    <s v="Regular"/>
    <x v="3"/>
    <x v="2"/>
    <x v="1"/>
    <x v="1"/>
    <x v="0"/>
    <x v="0"/>
    <x v="2"/>
    <x v="8"/>
    <n v="0"/>
    <n v="0"/>
    <n v="146.398"/>
    <n v="146.398"/>
    <n v="146.398"/>
    <n v="146.398"/>
    <n v="67"/>
    <x v="0"/>
    <n v="0"/>
    <n v="0"/>
    <n v="28"/>
    <n v="76"/>
    <n v="0"/>
    <n v="609.05999999999995"/>
    <n v="119.97"/>
    <m/>
    <n v="614.27335522224178"/>
    <n v="108.66738728357376"/>
    <n v="0"/>
    <n v="89165.165879999986"/>
    <n v="17563.368060000001"/>
    <n v="0"/>
    <n v="89928.390657825745"/>
    <n v="15908.688163540632"/>
  </r>
  <r>
    <s v="Sistema de Compensação"/>
    <x v="3"/>
    <x v="2"/>
    <x v="1"/>
    <x v="1"/>
    <x v="0"/>
    <x v="0"/>
    <x v="2"/>
    <x v="8"/>
    <n v="0"/>
    <n v="0"/>
    <n v="0.2"/>
    <n v="0.2"/>
    <n v="0.2"/>
    <n v="0.2"/>
    <n v="2"/>
    <x v="0"/>
    <n v="0"/>
    <n v="0"/>
    <n v="28"/>
    <n v="76"/>
    <n v="0"/>
    <n v="609.05999999999995"/>
    <n v="119.97"/>
    <m/>
    <n v="614.27335522224178"/>
    <n v="108.66738728357376"/>
    <n v="0"/>
    <n v="121.812"/>
    <n v="23.994"/>
    <n v="0"/>
    <n v="122.85467104444837"/>
    <n v="21.733477456714752"/>
  </r>
  <r>
    <s v="Regular"/>
    <x v="3"/>
    <x v="2"/>
    <x v="1"/>
    <x v="1"/>
    <x v="0"/>
    <x v="0"/>
    <x v="2"/>
    <x v="9"/>
    <n v="0"/>
    <n v="0"/>
    <n v="151.81399999999999"/>
    <n v="151.81399999999999"/>
    <n v="151.81399999999999"/>
    <n v="151.81399999999999"/>
    <n v="67"/>
    <x v="0"/>
    <n v="0"/>
    <n v="0"/>
    <n v="28"/>
    <n v="76"/>
    <n v="0"/>
    <n v="609.05999999999995"/>
    <n v="119.97"/>
    <m/>
    <n v="614.27335522224178"/>
    <n v="108.66738728357376"/>
    <n v="0"/>
    <n v="92463.834839999981"/>
    <n v="18213.12558"/>
    <n v="0"/>
    <n v="93255.295149709404"/>
    <n v="16497.230733068467"/>
  </r>
  <r>
    <s v="Sistema de Compensação"/>
    <x v="3"/>
    <x v="2"/>
    <x v="1"/>
    <x v="1"/>
    <x v="0"/>
    <x v="0"/>
    <x v="2"/>
    <x v="9"/>
    <n v="0"/>
    <n v="0"/>
    <n v="3.6019999999999999"/>
    <n v="3.6019999999999999"/>
    <n v="3.6019999999999999"/>
    <n v="3.6019999999999999"/>
    <n v="2"/>
    <x v="0"/>
    <n v="0"/>
    <n v="0"/>
    <n v="28"/>
    <n v="76"/>
    <n v="0"/>
    <n v="609.05999999999995"/>
    <n v="119.97"/>
    <m/>
    <n v="614.27335522224178"/>
    <n v="108.66738728357376"/>
    <n v="0"/>
    <n v="2193.8341199999995"/>
    <n v="432.13193999999999"/>
    <n v="0"/>
    <n v="2212.6126255105146"/>
    <n v="391.41992899543266"/>
  </r>
  <r>
    <s v="Regular"/>
    <x v="3"/>
    <x v="2"/>
    <x v="1"/>
    <x v="1"/>
    <x v="0"/>
    <x v="0"/>
    <x v="2"/>
    <x v="10"/>
    <n v="0"/>
    <n v="0"/>
    <n v="120.703"/>
    <n v="120.703"/>
    <n v="120.703"/>
    <n v="120.703"/>
    <n v="67"/>
    <x v="0"/>
    <n v="0"/>
    <n v="0"/>
    <n v="28"/>
    <n v="76"/>
    <n v="0"/>
    <n v="609.05999999999995"/>
    <n v="119.97"/>
    <m/>
    <n v="614.27335522224178"/>
    <n v="108.66738728357376"/>
    <n v="0"/>
    <n v="73515.369179999994"/>
    <n v="14480.73891"/>
    <n v="0"/>
    <n v="74144.636795390252"/>
    <n v="13116.479647289203"/>
  </r>
  <r>
    <s v="Refaturamento - Regular"/>
    <x v="3"/>
    <x v="2"/>
    <x v="1"/>
    <x v="1"/>
    <x v="0"/>
    <x v="0"/>
    <x v="2"/>
    <x v="10"/>
    <n v="0"/>
    <n v="0"/>
    <n v="-0.33900000000000002"/>
    <n v="-0.33900000000000002"/>
    <n v="-0.33900000000000002"/>
    <n v="-0.33900000000000002"/>
    <n v="0"/>
    <x v="0"/>
    <n v="0"/>
    <n v="0"/>
    <n v="28"/>
    <n v="76"/>
    <n v="0"/>
    <n v="609.05999999999995"/>
    <n v="119.97"/>
    <m/>
    <n v="614.27335522224178"/>
    <n v="108.66738728357376"/>
    <n v="0"/>
    <n v="-206.47134"/>
    <n v="-40.669830000000005"/>
    <n v="0"/>
    <n v="-208.23866742033997"/>
    <n v="-36.838244289131509"/>
  </r>
  <r>
    <s v="Sistema de Compensação"/>
    <x v="3"/>
    <x v="2"/>
    <x v="1"/>
    <x v="1"/>
    <x v="0"/>
    <x v="0"/>
    <x v="2"/>
    <x v="10"/>
    <n v="0"/>
    <n v="0"/>
    <n v="2.363"/>
    <n v="2.363"/>
    <n v="2.363"/>
    <n v="2.363"/>
    <n v="2"/>
    <x v="0"/>
    <n v="0"/>
    <n v="0"/>
    <n v="28"/>
    <n v="76"/>
    <n v="0"/>
    <n v="609.05999999999995"/>
    <n v="119.97"/>
    <m/>
    <n v="614.27335522224178"/>
    <n v="108.66738728357376"/>
    <n v="0"/>
    <n v="1439.2087799999999"/>
    <n v="283.48910999999998"/>
    <n v="0"/>
    <n v="1451.5279383901573"/>
    <n v="256.78103615108478"/>
  </r>
  <r>
    <s v="PROJETADO"/>
    <x v="3"/>
    <x v="2"/>
    <x v="1"/>
    <x v="1"/>
    <x v="0"/>
    <x v="0"/>
    <x v="2"/>
    <x v="11"/>
    <n v="0"/>
    <n v="0"/>
    <n v="120.703"/>
    <n v="120.703"/>
    <n v="120.703"/>
    <n v="120.703"/>
    <n v="67"/>
    <x v="0"/>
    <n v="0"/>
    <n v="0"/>
    <n v="28"/>
    <n v="76"/>
    <n v="0"/>
    <n v="609.05999999999995"/>
    <n v="119.97"/>
    <m/>
    <n v="614.27335522224178"/>
    <n v="108.66738728357376"/>
    <n v="0"/>
    <n v="73515.369179999994"/>
    <n v="14480.73891"/>
    <n v="0"/>
    <n v="74144.636795390252"/>
    <n v="13116.479647289203"/>
  </r>
  <r>
    <s v="PROJETADO"/>
    <x v="3"/>
    <x v="2"/>
    <x v="1"/>
    <x v="1"/>
    <x v="0"/>
    <x v="0"/>
    <x v="2"/>
    <x v="11"/>
    <n v="0"/>
    <n v="0"/>
    <n v="-0.33900000000000002"/>
    <n v="-0.33900000000000002"/>
    <n v="-0.33900000000000002"/>
    <n v="-0.33900000000000002"/>
    <n v="0"/>
    <x v="0"/>
    <n v="0"/>
    <n v="0"/>
    <n v="28"/>
    <n v="76"/>
    <n v="0"/>
    <n v="609.05999999999995"/>
    <n v="119.97"/>
    <m/>
    <n v="614.27335522224178"/>
    <n v="108.66738728357376"/>
    <n v="0"/>
    <n v="-206.47134"/>
    <n v="-40.669830000000005"/>
    <n v="0"/>
    <n v="-208.23866742033997"/>
    <n v="-36.838244289131509"/>
  </r>
  <r>
    <s v="PROJETADO"/>
    <x v="3"/>
    <x v="2"/>
    <x v="1"/>
    <x v="1"/>
    <x v="0"/>
    <x v="0"/>
    <x v="2"/>
    <x v="11"/>
    <n v="0"/>
    <n v="0"/>
    <n v="2.363"/>
    <n v="2.363"/>
    <n v="2.363"/>
    <n v="2.363"/>
    <n v="2"/>
    <x v="0"/>
    <n v="0"/>
    <n v="0"/>
    <n v="28"/>
    <n v="76"/>
    <n v="0"/>
    <n v="609.05999999999995"/>
    <n v="119.97"/>
    <m/>
    <n v="614.27335522224178"/>
    <n v="108.66738728357376"/>
    <n v="0"/>
    <n v="1439.2087799999999"/>
    <n v="283.48910999999998"/>
    <n v="0"/>
    <n v="1451.5279383901573"/>
    <n v="256.78103615108478"/>
  </r>
  <r>
    <s v="Regular"/>
    <x v="3"/>
    <x v="2"/>
    <x v="6"/>
    <x v="1"/>
    <x v="0"/>
    <x v="0"/>
    <x v="2"/>
    <x v="0"/>
    <n v="0"/>
    <n v="0"/>
    <n v="22.864000000000001"/>
    <n v="22.864000000000001"/>
    <n v="22.864000000000001"/>
    <n v="22.864000000000001"/>
    <n v="82"/>
    <x v="0"/>
    <n v="0"/>
    <n v="0"/>
    <n v="28"/>
    <n v="76"/>
    <n v="0"/>
    <n v="609.05999999999995"/>
    <n v="119.97"/>
    <m/>
    <n v="614.27335522224178"/>
    <n v="108.66738728357376"/>
    <n v="0"/>
    <n v="13925.547839999999"/>
    <n v="2742.9940799999999"/>
    <n v="0"/>
    <n v="14044.745993801336"/>
    <n v="2484.5711428516306"/>
  </r>
  <r>
    <s v="Regular"/>
    <x v="3"/>
    <x v="2"/>
    <x v="6"/>
    <x v="1"/>
    <x v="0"/>
    <x v="0"/>
    <x v="2"/>
    <x v="1"/>
    <n v="0"/>
    <n v="0"/>
    <n v="24.074999999999999"/>
    <n v="24.074999999999999"/>
    <n v="24.074999999999999"/>
    <n v="24.074999999999999"/>
    <n v="81"/>
    <x v="0"/>
    <n v="0"/>
    <n v="0"/>
    <n v="28"/>
    <n v="76"/>
    <n v="0"/>
    <n v="609.05999999999995"/>
    <n v="119.97"/>
    <m/>
    <n v="614.27335522224178"/>
    <n v="108.66738728357376"/>
    <n v="0"/>
    <n v="14663.119499999999"/>
    <n v="2888.2777499999997"/>
    <n v="0"/>
    <n v="14788.63102697547"/>
    <n v="2616.1673488520382"/>
  </r>
  <r>
    <s v="Regular"/>
    <x v="3"/>
    <x v="2"/>
    <x v="6"/>
    <x v="1"/>
    <x v="0"/>
    <x v="0"/>
    <x v="2"/>
    <x v="2"/>
    <n v="0"/>
    <n v="0"/>
    <n v="27.227"/>
    <n v="27.227"/>
    <n v="27.227"/>
    <n v="27.227"/>
    <n v="81"/>
    <x v="0"/>
    <n v="0"/>
    <n v="0"/>
    <n v="28"/>
    <n v="76"/>
    <n v="0"/>
    <n v="609.05999999999995"/>
    <n v="119.97"/>
    <m/>
    <n v="614.27335522224178"/>
    <n v="108.66738728357376"/>
    <n v="0"/>
    <n v="16582.876619999999"/>
    <n v="3266.42319"/>
    <n v="0"/>
    <n v="16724.820642635976"/>
    <n v="2958.6869535698629"/>
  </r>
  <r>
    <s v="Regular"/>
    <x v="3"/>
    <x v="2"/>
    <x v="6"/>
    <x v="1"/>
    <x v="0"/>
    <x v="0"/>
    <x v="2"/>
    <x v="3"/>
    <n v="0"/>
    <n v="0"/>
    <n v="26.853000000000002"/>
    <n v="26.853000000000002"/>
    <n v="26.853000000000002"/>
    <n v="26.853000000000002"/>
    <n v="81"/>
    <x v="0"/>
    <n v="0"/>
    <n v="0"/>
    <n v="28"/>
    <n v="76"/>
    <n v="0"/>
    <n v="609.05999999999995"/>
    <n v="119.97"/>
    <m/>
    <n v="614.27335522224178"/>
    <n v="108.66738728357376"/>
    <n v="0"/>
    <n v="16355.088179999999"/>
    <n v="3221.5544100000002"/>
    <n v="0"/>
    <n v="16495.082407782858"/>
    <n v="2918.0453507258062"/>
  </r>
  <r>
    <s v="Regular"/>
    <x v="3"/>
    <x v="2"/>
    <x v="6"/>
    <x v="1"/>
    <x v="0"/>
    <x v="0"/>
    <x v="2"/>
    <x v="4"/>
    <n v="0"/>
    <n v="0"/>
    <n v="111.35599999999999"/>
    <n v="111.35599999999999"/>
    <n v="111.35599999999999"/>
    <n v="111.35599999999999"/>
    <n v="81"/>
    <x v="0"/>
    <n v="0"/>
    <n v="0"/>
    <n v="28"/>
    <n v="76"/>
    <n v="0"/>
    <n v="609.05999999999995"/>
    <n v="119.97"/>
    <m/>
    <n v="614.27335522224178"/>
    <n v="108.66738728357376"/>
    <n v="0"/>
    <n v="67822.485359999991"/>
    <n v="13359.37932"/>
    <n v="0"/>
    <n v="68403.023744127946"/>
    <n v="12100.765578349639"/>
  </r>
  <r>
    <s v="Refaturamento - Regular"/>
    <x v="3"/>
    <x v="2"/>
    <x v="6"/>
    <x v="1"/>
    <x v="0"/>
    <x v="0"/>
    <x v="2"/>
    <x v="4"/>
    <n v="0"/>
    <n v="0"/>
    <n v="-87.14"/>
    <n v="-87.14"/>
    <n v="-87.14"/>
    <n v="-87.14"/>
    <n v="0"/>
    <x v="0"/>
    <n v="0"/>
    <n v="0"/>
    <n v="28"/>
    <n v="76"/>
    <n v="0"/>
    <n v="609.05999999999995"/>
    <n v="119.97"/>
    <m/>
    <n v="614.27335522224178"/>
    <n v="108.66738728357376"/>
    <n v="0"/>
    <n v="-53073.488399999995"/>
    <n v="-10454.185799999999"/>
    <n v="0"/>
    <n v="-53527.780174066145"/>
    <n v="-9469.2761278906182"/>
  </r>
  <r>
    <s v="Regular"/>
    <x v="3"/>
    <x v="2"/>
    <x v="6"/>
    <x v="1"/>
    <x v="0"/>
    <x v="0"/>
    <x v="2"/>
    <x v="5"/>
    <n v="0"/>
    <n v="0"/>
    <n v="34.493000000000002"/>
    <n v="34.493000000000002"/>
    <n v="34.493000000000002"/>
    <n v="34.493000000000002"/>
    <n v="82"/>
    <x v="0"/>
    <n v="0"/>
    <n v="0"/>
    <n v="28"/>
    <n v="76"/>
    <n v="0"/>
    <n v="609.05999999999995"/>
    <n v="119.97"/>
    <m/>
    <n v="614.27335522224178"/>
    <n v="108.66738728357376"/>
    <n v="0"/>
    <n v="21008.30658"/>
    <n v="4138.1252100000002"/>
    <n v="0"/>
    <n v="21188.130841680788"/>
    <n v="3748.26418957231"/>
  </r>
  <r>
    <s v="Regular"/>
    <x v="3"/>
    <x v="2"/>
    <x v="6"/>
    <x v="1"/>
    <x v="0"/>
    <x v="0"/>
    <x v="2"/>
    <x v="6"/>
    <n v="0"/>
    <n v="0"/>
    <n v="41.313000000000002"/>
    <n v="41.313000000000002"/>
    <n v="41.313000000000002"/>
    <n v="41.313000000000002"/>
    <n v="83"/>
    <x v="0"/>
    <n v="0"/>
    <n v="0"/>
    <n v="28"/>
    <n v="76"/>
    <n v="0"/>
    <n v="609.05999999999995"/>
    <n v="119.97"/>
    <m/>
    <n v="614.27335522224178"/>
    <n v="108.66738728357376"/>
    <n v="0"/>
    <n v="25162.09578"/>
    <n v="4956.3206100000007"/>
    <n v="0"/>
    <n v="25377.475124296478"/>
    <n v="4489.3757708462826"/>
  </r>
  <r>
    <s v="Regular"/>
    <x v="3"/>
    <x v="2"/>
    <x v="6"/>
    <x v="1"/>
    <x v="0"/>
    <x v="0"/>
    <x v="2"/>
    <x v="7"/>
    <n v="0"/>
    <n v="0"/>
    <n v="25.792000000000002"/>
    <n v="25.792000000000002"/>
    <n v="25.792000000000002"/>
    <n v="25.792000000000002"/>
    <n v="83"/>
    <x v="0"/>
    <n v="0"/>
    <n v="0"/>
    <n v="28"/>
    <n v="76"/>
    <n v="0"/>
    <n v="609.05999999999995"/>
    <n v="119.97"/>
    <m/>
    <n v="614.27335522224178"/>
    <n v="108.66738728357376"/>
    <n v="0"/>
    <n v="15708.87552"/>
    <n v="3094.2662400000004"/>
    <n v="0"/>
    <n v="15843.338377892062"/>
    <n v="2802.7492528179346"/>
  </r>
  <r>
    <s v="Regular"/>
    <x v="3"/>
    <x v="2"/>
    <x v="6"/>
    <x v="1"/>
    <x v="0"/>
    <x v="0"/>
    <x v="2"/>
    <x v="8"/>
    <n v="0"/>
    <n v="0"/>
    <n v="25.332999999999998"/>
    <n v="25.332999999999998"/>
    <n v="25.332999999999998"/>
    <n v="25.332999999999998"/>
    <n v="83"/>
    <x v="0"/>
    <n v="0"/>
    <n v="0"/>
    <n v="28"/>
    <n v="76"/>
    <n v="0"/>
    <n v="609.05999999999995"/>
    <n v="119.97"/>
    <m/>
    <n v="614.27335522224178"/>
    <n v="108.66738728357376"/>
    <n v="0"/>
    <n v="15429.316979999998"/>
    <n v="3039.2000099999996"/>
    <n v="0"/>
    <n v="15561.38690784505"/>
    <n v="2752.8709220547739"/>
  </r>
  <r>
    <s v="Regular"/>
    <x v="3"/>
    <x v="2"/>
    <x v="6"/>
    <x v="1"/>
    <x v="0"/>
    <x v="0"/>
    <x v="2"/>
    <x v="9"/>
    <n v="0"/>
    <n v="0"/>
    <n v="28.655999999999999"/>
    <n v="28.655999999999999"/>
    <n v="28.655999999999999"/>
    <n v="28.655999999999999"/>
    <n v="83"/>
    <x v="0"/>
    <n v="0"/>
    <n v="0"/>
    <n v="28"/>
    <n v="76"/>
    <n v="0"/>
    <n v="609.05999999999995"/>
    <n v="119.97"/>
    <m/>
    <n v="614.27335522224178"/>
    <n v="108.66738728357376"/>
    <n v="0"/>
    <n v="17453.223359999996"/>
    <n v="3437.8603199999998"/>
    <n v="0"/>
    <n v="17602.617267248559"/>
    <n v="3113.9726499980893"/>
  </r>
  <r>
    <s v="Regular"/>
    <x v="3"/>
    <x v="2"/>
    <x v="6"/>
    <x v="1"/>
    <x v="0"/>
    <x v="0"/>
    <x v="2"/>
    <x v="10"/>
    <n v="0"/>
    <n v="0"/>
    <n v="27.748000000000001"/>
    <n v="27.748000000000001"/>
    <n v="27.748000000000001"/>
    <n v="27.748000000000001"/>
    <n v="83"/>
    <x v="0"/>
    <n v="0"/>
    <n v="0"/>
    <n v="28"/>
    <n v="76"/>
    <n v="0"/>
    <n v="609.05999999999995"/>
    <n v="119.97"/>
    <m/>
    <n v="614.27335522224178"/>
    <n v="108.66738728357376"/>
    <n v="0"/>
    <n v="16900.19688"/>
    <n v="3328.9275600000001"/>
    <n v="0"/>
    <n v="17044.857060706767"/>
    <n v="3015.3026623446049"/>
  </r>
  <r>
    <s v="PROJETADO"/>
    <x v="3"/>
    <x v="2"/>
    <x v="6"/>
    <x v="1"/>
    <x v="0"/>
    <x v="0"/>
    <x v="2"/>
    <x v="11"/>
    <n v="0"/>
    <n v="0"/>
    <n v="27.748000000000001"/>
    <n v="27.748000000000001"/>
    <n v="27.748000000000001"/>
    <n v="27.748000000000001"/>
    <n v="83"/>
    <x v="0"/>
    <n v="0"/>
    <n v="0"/>
    <n v="28"/>
    <n v="76"/>
    <n v="0"/>
    <n v="609.05999999999995"/>
    <n v="119.97"/>
    <m/>
    <n v="614.27335522224178"/>
    <n v="108.66738728357376"/>
    <n v="0"/>
    <n v="16900.19688"/>
    <n v="3328.9275600000001"/>
    <n v="0"/>
    <n v="17044.857060706767"/>
    <n v="3015.3026623446049"/>
  </r>
  <r>
    <s v="Regular"/>
    <x v="3"/>
    <x v="2"/>
    <x v="0"/>
    <x v="0"/>
    <x v="0"/>
    <x v="0"/>
    <x v="2"/>
    <x v="0"/>
    <n v="0"/>
    <n v="0"/>
    <n v="4.5170000000000003"/>
    <n v="4.2459800000000003"/>
    <n v="4.5170000000000003"/>
    <n v="4.2459800000000003"/>
    <n v="7"/>
    <x v="0"/>
    <n v="0"/>
    <n v="0"/>
    <n v="28"/>
    <n v="76"/>
    <n v="0"/>
    <n v="609.05999999999995"/>
    <n v="119.97"/>
    <m/>
    <n v="614.27335522224178"/>
    <n v="108.66738728357376"/>
    <n v="0"/>
    <n v="2586.0565787999999"/>
    <n v="509.39022060000002"/>
    <n v="0"/>
    <n v="2608.1923808065344"/>
    <n v="461.39955305830853"/>
  </r>
  <r>
    <s v="Regular"/>
    <x v="3"/>
    <x v="2"/>
    <x v="0"/>
    <x v="0"/>
    <x v="0"/>
    <x v="0"/>
    <x v="2"/>
    <x v="1"/>
    <n v="0"/>
    <n v="0"/>
    <n v="4.6639999999999997"/>
    <n v="4.3841599999999996"/>
    <n v="4.6639999999999997"/>
    <n v="4.3841599999999996"/>
    <n v="7"/>
    <x v="0"/>
    <n v="0"/>
    <n v="0"/>
    <n v="28"/>
    <n v="76"/>
    <n v="0"/>
    <n v="609.05999999999995"/>
    <n v="119.97"/>
    <m/>
    <n v="614.27335522224178"/>
    <n v="108.66738728357376"/>
    <n v="0"/>
    <n v="2670.2164895999995"/>
    <n v="525.96767519999992"/>
    <n v="0"/>
    <n v="2693.072673031143"/>
    <n v="476.41521263315269"/>
  </r>
  <r>
    <s v="Regular"/>
    <x v="3"/>
    <x v="2"/>
    <x v="0"/>
    <x v="0"/>
    <x v="0"/>
    <x v="0"/>
    <x v="2"/>
    <x v="2"/>
    <n v="0"/>
    <n v="0"/>
    <n v="4.6029999999999998"/>
    <n v="4.3268199999999997"/>
    <n v="4.6029999999999998"/>
    <n v="4.3268199999999997"/>
    <n v="7"/>
    <x v="0"/>
    <n v="0"/>
    <n v="0"/>
    <n v="28"/>
    <n v="76"/>
    <n v="0"/>
    <n v="609.05999999999995"/>
    <n v="119.97"/>
    <m/>
    <n v="614.27335522224178"/>
    <n v="108.66738728357376"/>
    <n v="0"/>
    <n v="2635.2929891999997"/>
    <n v="519.08859539999992"/>
    <n v="0"/>
    <n v="2657.8502388427"/>
    <n v="470.1842246463126"/>
  </r>
  <r>
    <s v="Regular"/>
    <x v="3"/>
    <x v="2"/>
    <x v="0"/>
    <x v="0"/>
    <x v="0"/>
    <x v="0"/>
    <x v="2"/>
    <x v="3"/>
    <n v="0"/>
    <n v="0"/>
    <n v="4.399"/>
    <n v="4.1350600000000002"/>
    <n v="4.399"/>
    <n v="4.1350600000000002"/>
    <n v="7"/>
    <x v="0"/>
    <n v="0"/>
    <n v="0"/>
    <n v="28"/>
    <n v="76"/>
    <n v="0"/>
    <n v="609.05999999999995"/>
    <n v="119.97"/>
    <m/>
    <n v="614.27335522224178"/>
    <n v="108.66738728357376"/>
    <n v="0"/>
    <n v="2518.4996435999997"/>
    <n v="496.08314820000004"/>
    <n v="0"/>
    <n v="2540.0571802452832"/>
    <n v="449.34616646081452"/>
  </r>
  <r>
    <s v="Regular"/>
    <x v="3"/>
    <x v="2"/>
    <x v="0"/>
    <x v="0"/>
    <x v="0"/>
    <x v="0"/>
    <x v="2"/>
    <x v="4"/>
    <n v="0"/>
    <n v="0"/>
    <n v="4.9820000000000002"/>
    <n v="4.6830800000000004"/>
    <n v="4.9820000000000002"/>
    <n v="4.6830800000000004"/>
    <n v="7"/>
    <x v="0"/>
    <n v="0"/>
    <n v="0"/>
    <n v="28"/>
    <n v="76"/>
    <n v="0"/>
    <n v="609.05999999999995"/>
    <n v="119.97"/>
    <m/>
    <n v="614.27335522224178"/>
    <n v="108.66738728357376"/>
    <n v="0"/>
    <n v="2852.2767048000001"/>
    <n v="561.82910760000004"/>
    <n v="0"/>
    <n v="2876.6912643741762"/>
    <n v="508.89806803995862"/>
  </r>
  <r>
    <s v="Regular"/>
    <x v="3"/>
    <x v="2"/>
    <x v="0"/>
    <x v="0"/>
    <x v="0"/>
    <x v="0"/>
    <x v="2"/>
    <x v="5"/>
    <n v="0"/>
    <n v="0"/>
    <n v="5.7190000000000003"/>
    <n v="5.3758600000000003"/>
    <n v="5.7190000000000003"/>
    <n v="5.3758600000000003"/>
    <n v="7"/>
    <x v="0"/>
    <n v="0"/>
    <n v="0"/>
    <n v="28"/>
    <n v="76"/>
    <n v="0"/>
    <n v="609.05999999999995"/>
    <n v="119.97"/>
    <m/>
    <n v="614.27335522224178"/>
    <n v="108.66738728357376"/>
    <n v="0"/>
    <n v="3274.2212915999999"/>
    <n v="644.94192420000002"/>
    <n v="0"/>
    <n v="3302.2475594050406"/>
    <n v="584.18066060227284"/>
  </r>
  <r>
    <s v="Regular"/>
    <x v="3"/>
    <x v="2"/>
    <x v="0"/>
    <x v="0"/>
    <x v="0"/>
    <x v="0"/>
    <x v="2"/>
    <x v="6"/>
    <n v="0"/>
    <n v="0"/>
    <n v="5.2949999999999999"/>
    <n v="4.9772999999999996"/>
    <n v="5.2949999999999999"/>
    <n v="4.9772999999999996"/>
    <n v="7"/>
    <x v="0"/>
    <n v="0"/>
    <n v="0"/>
    <n v="28"/>
    <n v="76"/>
    <n v="0"/>
    <n v="609.05999999999995"/>
    <n v="119.97"/>
    <m/>
    <n v="614.27335522224178"/>
    <n v="108.66738728357376"/>
    <n v="0"/>
    <n v="3031.4743379999995"/>
    <n v="597.12668099999996"/>
    <n v="0"/>
    <n v="3057.4227709476636"/>
    <n v="540.87018672653164"/>
  </r>
  <r>
    <s v="Regular"/>
    <x v="3"/>
    <x v="2"/>
    <x v="0"/>
    <x v="0"/>
    <x v="0"/>
    <x v="0"/>
    <x v="2"/>
    <x v="7"/>
    <n v="0"/>
    <n v="0"/>
    <n v="4.95"/>
    <n v="4.6529999999999996"/>
    <n v="4.95"/>
    <n v="4.6529999999999996"/>
    <n v="7"/>
    <x v="0"/>
    <n v="0"/>
    <n v="0"/>
    <n v="28"/>
    <n v="76"/>
    <n v="0"/>
    <n v="609.05999999999995"/>
    <n v="119.97"/>
    <m/>
    <n v="614.27335522224178"/>
    <n v="108.66738728357376"/>
    <n v="0"/>
    <n v="2833.9561799999997"/>
    <n v="558.2204099999999"/>
    <n v="0"/>
    <n v="2858.2139218490906"/>
    <n v="505.62935303046868"/>
  </r>
  <r>
    <s v="Regular"/>
    <x v="3"/>
    <x v="2"/>
    <x v="0"/>
    <x v="0"/>
    <x v="0"/>
    <x v="0"/>
    <x v="2"/>
    <x v="8"/>
    <n v="0"/>
    <n v="0"/>
    <n v="4.4809999999999999"/>
    <n v="4.2121399999999998"/>
    <n v="4.4809999999999999"/>
    <n v="4.2121399999999998"/>
    <n v="7"/>
    <x v="0"/>
    <n v="0"/>
    <n v="0"/>
    <n v="28"/>
    <n v="76"/>
    <n v="0"/>
    <n v="609.05999999999995"/>
    <n v="119.97"/>
    <m/>
    <n v="614.27335522224178"/>
    <n v="108.66738728357376"/>
    <n v="0"/>
    <n v="2565.4459883999998"/>
    <n v="505.33043579999998"/>
    <n v="0"/>
    <n v="2587.4053704658131"/>
    <n v="457.72224867263236"/>
  </r>
  <r>
    <s v="Regular"/>
    <x v="3"/>
    <x v="2"/>
    <x v="0"/>
    <x v="0"/>
    <x v="0"/>
    <x v="0"/>
    <x v="2"/>
    <x v="9"/>
    <n v="0"/>
    <n v="0"/>
    <n v="6.141"/>
    <n v="5.7725400000000002"/>
    <n v="6.141"/>
    <n v="5.7725400000000002"/>
    <n v="7"/>
    <x v="0"/>
    <n v="0"/>
    <n v="0"/>
    <n v="28"/>
    <n v="76"/>
    <n v="0"/>
    <n v="609.05999999999995"/>
    <n v="119.97"/>
    <m/>
    <n v="614.27335522224178"/>
    <n v="108.66738728357376"/>
    <n v="0"/>
    <n v="3515.8232123999996"/>
    <n v="692.53162380000003"/>
    <n v="0"/>
    <n v="3545.9175139545996"/>
    <n v="627.28683978992092"/>
  </r>
  <r>
    <s v="Regular"/>
    <x v="3"/>
    <x v="2"/>
    <x v="0"/>
    <x v="0"/>
    <x v="0"/>
    <x v="0"/>
    <x v="2"/>
    <x v="10"/>
    <n v="0"/>
    <n v="0"/>
    <n v="5.5609999999999999"/>
    <n v="5.2273399999999999"/>
    <n v="5.5609999999999999"/>
    <n v="5.2273399999999999"/>
    <n v="7"/>
    <x v="0"/>
    <n v="0"/>
    <n v="0"/>
    <n v="28"/>
    <n v="76"/>
    <n v="0"/>
    <n v="609.05999999999995"/>
    <n v="119.97"/>
    <m/>
    <n v="614.27335522224178"/>
    <n v="108.66738728357376"/>
    <n v="0"/>
    <n v="3183.7637003999998"/>
    <n v="627.12397980000003"/>
    <n v="0"/>
    <n v="3211.0156806874334"/>
    <n v="568.04138024291649"/>
  </r>
  <r>
    <s v="PROJETADO"/>
    <x v="3"/>
    <x v="2"/>
    <x v="0"/>
    <x v="0"/>
    <x v="0"/>
    <x v="0"/>
    <x v="2"/>
    <x v="11"/>
    <n v="0"/>
    <n v="0"/>
    <n v="5.5609999999999999"/>
    <n v="5.2273399999999999"/>
    <n v="5.5609999999999999"/>
    <n v="5.2273399999999999"/>
    <n v="7"/>
    <x v="0"/>
    <n v="0"/>
    <n v="0"/>
    <n v="28"/>
    <n v="76"/>
    <n v="0"/>
    <n v="609.05999999999995"/>
    <n v="119.97"/>
    <m/>
    <n v="614.27335522224178"/>
    <n v="108.66738728357376"/>
    <n v="0"/>
    <n v="3183.7637003999998"/>
    <n v="627.12397980000003"/>
    <n v="0"/>
    <n v="3211.0156806874334"/>
    <n v="568.04138024291649"/>
  </r>
  <r>
    <s v="Regular"/>
    <x v="4"/>
    <x v="2"/>
    <x v="7"/>
    <x v="7"/>
    <x v="0"/>
    <x v="0"/>
    <x v="2"/>
    <x v="0"/>
    <n v="0"/>
    <n v="0"/>
    <n v="83.29"/>
    <n v="83.29"/>
    <n v="83.29"/>
    <n v="83.29"/>
    <n v="2"/>
    <x v="0"/>
    <n v="0"/>
    <n v="0"/>
    <n v="46"/>
    <n v="82"/>
    <n v="0"/>
    <n v="334.98"/>
    <n v="65.989999999999995"/>
    <m/>
    <n v="337.85034537223299"/>
    <n v="59.767063005965575"/>
    <n v="0"/>
    <n v="27900.484200000003"/>
    <n v="5496.3071"/>
    <n v="0"/>
    <n v="28139.555266053289"/>
    <n v="4977.9986777668728"/>
  </r>
  <r>
    <s v="Regular"/>
    <x v="4"/>
    <x v="2"/>
    <x v="7"/>
    <x v="7"/>
    <x v="0"/>
    <x v="0"/>
    <x v="2"/>
    <x v="1"/>
    <n v="0"/>
    <n v="0"/>
    <n v="83.29"/>
    <n v="83.29"/>
    <n v="83.29"/>
    <n v="83.29"/>
    <n v="2"/>
    <x v="0"/>
    <n v="0"/>
    <n v="0"/>
    <n v="46"/>
    <n v="82"/>
    <n v="0"/>
    <n v="334.98"/>
    <n v="65.989999999999995"/>
    <m/>
    <n v="337.85034537223299"/>
    <n v="59.767063005965575"/>
    <n v="0"/>
    <n v="27900.484200000003"/>
    <n v="5496.3071"/>
    <n v="0"/>
    <n v="28139.555266053289"/>
    <n v="4977.9986777668728"/>
  </r>
  <r>
    <s v="Regular"/>
    <x v="4"/>
    <x v="2"/>
    <x v="7"/>
    <x v="7"/>
    <x v="0"/>
    <x v="0"/>
    <x v="2"/>
    <x v="2"/>
    <n v="0"/>
    <n v="0"/>
    <n v="83.29"/>
    <n v="83.29"/>
    <n v="83.29"/>
    <n v="83.29"/>
    <n v="2"/>
    <x v="0"/>
    <n v="0"/>
    <n v="0"/>
    <n v="46"/>
    <n v="82"/>
    <n v="0"/>
    <n v="334.98"/>
    <n v="65.989999999999995"/>
    <m/>
    <n v="337.85034537223299"/>
    <n v="59.767063005965575"/>
    <n v="0"/>
    <n v="27900.484200000003"/>
    <n v="5496.3071"/>
    <n v="0"/>
    <n v="28139.555266053289"/>
    <n v="4977.9986777668728"/>
  </r>
  <r>
    <s v="Regular"/>
    <x v="4"/>
    <x v="2"/>
    <x v="7"/>
    <x v="7"/>
    <x v="0"/>
    <x v="0"/>
    <x v="2"/>
    <x v="3"/>
    <n v="0"/>
    <n v="0"/>
    <n v="83.29"/>
    <n v="83.29"/>
    <n v="83.29"/>
    <n v="83.29"/>
    <n v="2"/>
    <x v="0"/>
    <n v="0"/>
    <n v="0"/>
    <n v="46"/>
    <n v="82"/>
    <n v="0"/>
    <n v="334.98"/>
    <n v="65.989999999999995"/>
    <m/>
    <n v="337.85034537223299"/>
    <n v="59.767063005965575"/>
    <n v="0"/>
    <n v="27900.484200000003"/>
    <n v="5496.3071"/>
    <n v="0"/>
    <n v="28139.555266053289"/>
    <n v="4977.9986777668728"/>
  </r>
  <r>
    <s v="Regular"/>
    <x v="4"/>
    <x v="2"/>
    <x v="7"/>
    <x v="7"/>
    <x v="0"/>
    <x v="0"/>
    <x v="2"/>
    <x v="4"/>
    <n v="0"/>
    <n v="0"/>
    <n v="84.697999999999993"/>
    <n v="84.697999999999993"/>
    <n v="84.697999999999993"/>
    <n v="84.697999999999993"/>
    <n v="2"/>
    <x v="0"/>
    <n v="0"/>
    <n v="0"/>
    <n v="46"/>
    <n v="82"/>
    <n v="0"/>
    <n v="334.98"/>
    <n v="65.989999999999995"/>
    <m/>
    <n v="337.85034537223299"/>
    <n v="59.767063005965575"/>
    <n v="0"/>
    <n v="28372.136039999998"/>
    <n v="5589.221019999999"/>
    <n v="0"/>
    <n v="28615.248552337387"/>
    <n v="5062.1507024792718"/>
  </r>
  <r>
    <s v="Regular"/>
    <x v="4"/>
    <x v="2"/>
    <x v="7"/>
    <x v="7"/>
    <x v="0"/>
    <x v="0"/>
    <x v="2"/>
    <x v="5"/>
    <n v="0"/>
    <n v="0"/>
    <n v="84.697999999999993"/>
    <n v="84.697999999999993"/>
    <n v="84.697999999999993"/>
    <n v="84.697999999999993"/>
    <n v="2"/>
    <x v="0"/>
    <n v="0"/>
    <n v="0"/>
    <n v="46"/>
    <n v="82"/>
    <n v="0"/>
    <n v="334.98"/>
    <n v="65.989999999999995"/>
    <m/>
    <n v="337.85034537223299"/>
    <n v="59.767063005965575"/>
    <n v="0"/>
    <n v="28372.136039999998"/>
    <n v="5589.221019999999"/>
    <n v="0"/>
    <n v="28615.248552337387"/>
    <n v="5062.1507024792718"/>
  </r>
  <r>
    <s v="Regular"/>
    <x v="4"/>
    <x v="2"/>
    <x v="7"/>
    <x v="7"/>
    <x v="0"/>
    <x v="0"/>
    <x v="2"/>
    <x v="6"/>
    <n v="0"/>
    <n v="0"/>
    <n v="84.697999999999993"/>
    <n v="84.697999999999993"/>
    <n v="84.697999999999993"/>
    <n v="84.697999999999993"/>
    <n v="2"/>
    <x v="0"/>
    <n v="0"/>
    <n v="0"/>
    <n v="46"/>
    <n v="82"/>
    <n v="0"/>
    <n v="334.98"/>
    <n v="65.989999999999995"/>
    <m/>
    <n v="337.85034537223299"/>
    <n v="59.767063005965575"/>
    <n v="0"/>
    <n v="28372.136039999998"/>
    <n v="5589.221019999999"/>
    <n v="0"/>
    <n v="28615.248552337387"/>
    <n v="5062.1507024792718"/>
  </r>
  <r>
    <s v="Regular"/>
    <x v="4"/>
    <x v="2"/>
    <x v="7"/>
    <x v="7"/>
    <x v="0"/>
    <x v="0"/>
    <x v="2"/>
    <x v="7"/>
    <n v="0"/>
    <n v="0"/>
    <n v="84.697999999999993"/>
    <n v="84.697999999999993"/>
    <n v="84.697999999999993"/>
    <n v="84.697999999999993"/>
    <n v="2"/>
    <x v="0"/>
    <n v="0"/>
    <n v="0"/>
    <n v="46"/>
    <n v="82"/>
    <n v="0"/>
    <n v="334.98"/>
    <n v="65.989999999999995"/>
    <m/>
    <n v="337.85034537223299"/>
    <n v="59.767063005965575"/>
    <n v="0"/>
    <n v="28372.136039999998"/>
    <n v="5589.221019999999"/>
    <n v="0"/>
    <n v="28615.248552337387"/>
    <n v="5062.1507024792718"/>
  </r>
  <r>
    <s v="Regular"/>
    <x v="4"/>
    <x v="2"/>
    <x v="7"/>
    <x v="7"/>
    <x v="0"/>
    <x v="0"/>
    <x v="2"/>
    <x v="8"/>
    <n v="0"/>
    <n v="0"/>
    <n v="84.697999999999993"/>
    <n v="84.697999999999993"/>
    <n v="84.697999999999993"/>
    <n v="84.697999999999993"/>
    <n v="2"/>
    <x v="0"/>
    <n v="0"/>
    <n v="0"/>
    <n v="46"/>
    <n v="82"/>
    <n v="0"/>
    <n v="334.98"/>
    <n v="65.989999999999995"/>
    <m/>
    <n v="337.85034537223299"/>
    <n v="59.767063005965575"/>
    <n v="0"/>
    <n v="28372.136039999998"/>
    <n v="5589.221019999999"/>
    <n v="0"/>
    <n v="28615.248552337387"/>
    <n v="5062.1507024792718"/>
  </r>
  <r>
    <s v="Regular"/>
    <x v="4"/>
    <x v="2"/>
    <x v="7"/>
    <x v="7"/>
    <x v="0"/>
    <x v="0"/>
    <x v="2"/>
    <x v="9"/>
    <n v="0"/>
    <n v="0"/>
    <n v="84.697999999999993"/>
    <n v="84.697999999999993"/>
    <n v="84.697999999999993"/>
    <n v="84.697999999999993"/>
    <n v="2"/>
    <x v="0"/>
    <n v="0"/>
    <n v="0"/>
    <n v="46"/>
    <n v="82"/>
    <n v="0"/>
    <n v="334.98"/>
    <n v="65.989999999999995"/>
    <m/>
    <n v="337.85034537223299"/>
    <n v="59.767063005965575"/>
    <n v="0"/>
    <n v="28372.136039999998"/>
    <n v="5589.221019999999"/>
    <n v="0"/>
    <n v="28615.248552337387"/>
    <n v="5062.1507024792718"/>
  </r>
  <r>
    <s v="Regular"/>
    <x v="4"/>
    <x v="2"/>
    <x v="7"/>
    <x v="7"/>
    <x v="0"/>
    <x v="0"/>
    <x v="2"/>
    <x v="10"/>
    <n v="0"/>
    <n v="0"/>
    <n v="84.697999999999993"/>
    <n v="84.697999999999993"/>
    <n v="84.697999999999993"/>
    <n v="84.697999999999993"/>
    <n v="2"/>
    <x v="0"/>
    <n v="0"/>
    <n v="0"/>
    <n v="46"/>
    <n v="82"/>
    <n v="0"/>
    <n v="334.98"/>
    <n v="65.989999999999995"/>
    <m/>
    <n v="337.85034537223299"/>
    <n v="59.767063005965575"/>
    <n v="0"/>
    <n v="28372.136039999998"/>
    <n v="5589.221019999999"/>
    <n v="0"/>
    <n v="28615.248552337387"/>
    <n v="5062.1507024792718"/>
  </r>
  <r>
    <s v="PROJETADO"/>
    <x v="4"/>
    <x v="2"/>
    <x v="7"/>
    <x v="7"/>
    <x v="0"/>
    <x v="0"/>
    <x v="2"/>
    <x v="11"/>
    <n v="0"/>
    <n v="0"/>
    <n v="84.697999999999993"/>
    <n v="84.697999999999993"/>
    <n v="84.697999999999993"/>
    <n v="84.697999999999993"/>
    <n v="2"/>
    <x v="0"/>
    <n v="0"/>
    <n v="0"/>
    <n v="46"/>
    <n v="82"/>
    <n v="0"/>
    <n v="334.98"/>
    <n v="65.989999999999995"/>
    <m/>
    <n v="337.85034537223299"/>
    <n v="59.767063005965575"/>
    <n v="0"/>
    <n v="28372.136039999998"/>
    <n v="5589.221019999999"/>
    <n v="0"/>
    <n v="28615.248552337387"/>
    <n v="5062.150702479271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s v="Regular"/>
    <x v="0"/>
    <x v="0"/>
    <x v="0"/>
    <x v="0"/>
    <x v="0"/>
    <x v="0"/>
    <x v="0"/>
    <x v="0"/>
    <n v="100"/>
    <n v="85"/>
    <n v="40.451000000000001"/>
    <n v="38.023940000000003"/>
    <n v="40.451000000000001"/>
    <n v="38.023940000000003"/>
    <n v="0"/>
    <s v="CATIVO"/>
    <n v="0"/>
    <n v="21"/>
    <n v="1"/>
    <n v="40"/>
    <n v="41.15"/>
    <n v="66.040000000000006"/>
    <n v="119.97"/>
    <n v="40.015880356222226"/>
    <n v="98.415755172877127"/>
    <n v="108.66738728357376"/>
    <n v="617.25"/>
    <n v="451.4574305999995"/>
    <n v="600.23820534333345"/>
    <n v="502.60321173035311"/>
    <x v="0"/>
  </r>
  <r>
    <s v="Regular"/>
    <x v="0"/>
    <x v="0"/>
    <x v="0"/>
    <x v="0"/>
    <x v="0"/>
    <x v="0"/>
    <x v="0"/>
    <x v="1"/>
    <n v="101"/>
    <n v="85.85"/>
    <n v="39.823999999999998"/>
    <n v="37.434559999999998"/>
    <n v="39.823999999999998"/>
    <n v="37.434559999999998"/>
    <n v="0"/>
    <s v="CATIVO"/>
    <n v="0"/>
    <n v="21"/>
    <n v="1"/>
    <n v="40"/>
    <n v="41.15"/>
    <n v="66.040000000000006"/>
    <n v="119.97"/>
    <n v="40.015880356222226"/>
    <n v="98.415755172877127"/>
    <n v="108.66738728357376"/>
    <n v="623.42250000000024"/>
    <n v="444.45973440000012"/>
    <n v="606.24058739676695"/>
    <n v="494.81274391114209"/>
    <x v="0"/>
  </r>
  <r>
    <s v="Regular"/>
    <x v="0"/>
    <x v="0"/>
    <x v="0"/>
    <x v="0"/>
    <x v="0"/>
    <x v="0"/>
    <x v="1"/>
    <x v="0"/>
    <n v="100"/>
    <n v="85"/>
    <n v="4.6870000000000003"/>
    <n v="4.40578"/>
    <n v="4.6870000000000003"/>
    <n v="4.40578"/>
    <n v="0"/>
    <s v="CATIVO"/>
    <n v="0"/>
    <n v="31"/>
    <n v="1"/>
    <n v="34"/>
    <n v="116.14"/>
    <n v="66.040000000000006"/>
    <n v="119.97"/>
    <n v="109.89317868643562"/>
    <n v="98.415755172877127"/>
    <n v="108.66738728357376"/>
    <n v="1742.1"/>
    <n v="52.309732200000042"/>
    <n v="1648.3976802965342"/>
    <n v="58.235921321603172"/>
    <x v="0"/>
  </r>
  <r>
    <s v="Regular"/>
    <x v="0"/>
    <x v="0"/>
    <x v="0"/>
    <x v="0"/>
    <x v="0"/>
    <x v="0"/>
    <x v="1"/>
    <x v="1"/>
    <n v="101"/>
    <n v="85.85"/>
    <n v="4.5910000000000002"/>
    <n v="4.3155400000000004"/>
    <n v="4.5910000000000002"/>
    <n v="4.3155400000000004"/>
    <n v="0"/>
    <s v="CATIVO"/>
    <n v="0"/>
    <n v="31"/>
    <n v="1"/>
    <n v="34"/>
    <n v="116.14"/>
    <n v="66.040000000000006"/>
    <n v="119.97"/>
    <n v="109.89317868643562"/>
    <n v="98.415755172877127"/>
    <n v="108.66738728357376"/>
    <n v="1759.5210000000006"/>
    <n v="51.238314599999967"/>
    <n v="1664.8816570995002"/>
    <n v="57.043122421053923"/>
    <x v="0"/>
  </r>
  <r>
    <s v="Sistema de Compensação"/>
    <x v="0"/>
    <x v="1"/>
    <x v="1"/>
    <x v="1"/>
    <x v="0"/>
    <x v="0"/>
    <x v="0"/>
    <x v="2"/>
    <n v="0"/>
    <n v="0"/>
    <n v="4.3380000000000001"/>
    <n v="4.1644800000000002"/>
    <n v="4.3380000000000001"/>
    <n v="4.1644800000000002"/>
    <n v="0"/>
    <s v="CATIVO"/>
    <n v="0"/>
    <n v="0"/>
    <n v="10"/>
    <n v="40"/>
    <n v="0"/>
    <n v="66.040000000000006"/>
    <n v="119.97"/>
    <m/>
    <n v="98.415755172877127"/>
    <n v="108.66738728357376"/>
    <n v="0"/>
    <n v="32.27645519999998"/>
    <n v="0"/>
    <n v="35.933066879043338"/>
    <x v="1"/>
  </r>
  <r>
    <s v="Sistema de Compensação"/>
    <x v="0"/>
    <x v="1"/>
    <x v="1"/>
    <x v="1"/>
    <x v="0"/>
    <x v="0"/>
    <x v="0"/>
    <x v="3"/>
    <n v="0"/>
    <n v="0"/>
    <n v="1.331"/>
    <n v="1.27776"/>
    <n v="1.331"/>
    <n v="1.27776"/>
    <n v="0"/>
    <s v="CATIVO"/>
    <n v="0"/>
    <n v="0"/>
    <n v="10"/>
    <n v="40"/>
    <n v="0"/>
    <n v="66.040000000000006"/>
    <n v="119.97"/>
    <m/>
    <n v="98.415755172877127"/>
    <n v="108.66738728357376"/>
    <n v="0"/>
    <n v="9.9031723999999919"/>
    <n v="0"/>
    <n v="11.025106504381435"/>
    <x v="1"/>
  </r>
  <r>
    <s v="Sistema de Compensação"/>
    <x v="0"/>
    <x v="1"/>
    <x v="1"/>
    <x v="1"/>
    <x v="0"/>
    <x v="0"/>
    <x v="2"/>
    <x v="2"/>
    <n v="41"/>
    <n v="39.36"/>
    <n v="0"/>
    <n v="0"/>
    <n v="0"/>
    <n v="0"/>
    <n v="1"/>
    <s v="CATIVO"/>
    <n v="0"/>
    <n v="27"/>
    <n v="0"/>
    <n v="0"/>
    <n v="41.15"/>
    <n v="0"/>
    <n v="0"/>
    <n v="40.015880356222226"/>
    <m/>
    <m/>
    <n v="67.486000000000018"/>
    <n v="0"/>
    <n v="65.626043784204469"/>
    <n v="0"/>
    <x v="1"/>
  </r>
  <r>
    <s v="Sistema de Compensação"/>
    <x v="0"/>
    <x v="1"/>
    <x v="1"/>
    <x v="1"/>
    <x v="0"/>
    <x v="0"/>
    <x v="2"/>
    <x v="3"/>
    <n v="32"/>
    <n v="30.72"/>
    <n v="0"/>
    <n v="0"/>
    <n v="0"/>
    <n v="0"/>
    <n v="1"/>
    <s v="CATIVO"/>
    <n v="0"/>
    <n v="27"/>
    <n v="0"/>
    <n v="0"/>
    <n v="41.15"/>
    <n v="0"/>
    <n v="0"/>
    <n v="40.015880356222226"/>
    <m/>
    <m/>
    <n v="52.672000000000047"/>
    <n v="0"/>
    <n v="51.220326855964494"/>
    <n v="0"/>
    <x v="1"/>
  </r>
  <r>
    <s v="Sistema de Compensação"/>
    <x v="0"/>
    <x v="1"/>
    <x v="1"/>
    <x v="1"/>
    <x v="0"/>
    <x v="0"/>
    <x v="1"/>
    <x v="2"/>
    <n v="0"/>
    <n v="0"/>
    <n v="0.223"/>
    <n v="0.21407999999999999"/>
    <n v="0.223"/>
    <n v="0.21407999999999999"/>
    <n v="0"/>
    <s v="CATIVO"/>
    <n v="0"/>
    <n v="0"/>
    <n v="32"/>
    <n v="34"/>
    <n v="0"/>
    <n v="2859.84"/>
    <n v="119.97"/>
    <m/>
    <n v="2742.094396913973"/>
    <n v="108.66738728357376"/>
    <n v="0"/>
    <n v="26.579905200000034"/>
    <n v="0"/>
    <n v="25.428795115042149"/>
    <x v="1"/>
  </r>
  <r>
    <s v="Sistema de Compensação"/>
    <x v="0"/>
    <x v="1"/>
    <x v="1"/>
    <x v="1"/>
    <x v="0"/>
    <x v="0"/>
    <x v="1"/>
    <x v="3"/>
    <n v="0"/>
    <n v="0"/>
    <n v="0.246"/>
    <n v="0.23615999999999998"/>
    <n v="0.246"/>
    <n v="0.23615999999999998"/>
    <n v="0"/>
    <s v="CATIVO"/>
    <n v="0"/>
    <n v="0"/>
    <n v="32"/>
    <n v="34"/>
    <n v="0"/>
    <n v="2859.84"/>
    <n v="119.97"/>
    <m/>
    <n v="2742.094396913973"/>
    <n v="108.66738728357376"/>
    <n v="0"/>
    <n v="29.321330400000047"/>
    <n v="0"/>
    <n v="28.051495956503906"/>
    <x v="1"/>
  </r>
  <r>
    <s v="Regular"/>
    <x v="0"/>
    <x v="1"/>
    <x v="0"/>
    <x v="0"/>
    <x v="0"/>
    <x v="0"/>
    <x v="0"/>
    <x v="4"/>
    <n v="0"/>
    <n v="0"/>
    <n v="40.524999999999999"/>
    <n v="38.093499999999999"/>
    <n v="40.524999999999999"/>
    <n v="38.093499999999999"/>
    <n v="0"/>
    <s v="CATIVO"/>
    <n v="0"/>
    <n v="0"/>
    <n v="10"/>
    <n v="40"/>
    <n v="0"/>
    <n v="66.040000000000006"/>
    <n v="119.97"/>
    <m/>
    <n v="98.415755172877127"/>
    <n v="108.66738728357376"/>
    <n v="0"/>
    <n v="452.28331499999996"/>
    <n v="0"/>
    <n v="503.52266088286024"/>
    <x v="0"/>
  </r>
  <r>
    <s v="Regular"/>
    <x v="0"/>
    <x v="1"/>
    <x v="0"/>
    <x v="0"/>
    <x v="0"/>
    <x v="0"/>
    <x v="0"/>
    <x v="5"/>
    <n v="0"/>
    <n v="0"/>
    <n v="44.106000000000002"/>
    <n v="41.45964"/>
    <n v="44.106000000000002"/>
    <n v="41.45964"/>
    <n v="0"/>
    <s v="CATIVO"/>
    <n v="0"/>
    <n v="0"/>
    <n v="10"/>
    <n v="40"/>
    <n v="0"/>
    <n v="66.040000000000006"/>
    <n v="119.97"/>
    <m/>
    <n v="98.415755172877127"/>
    <n v="108.66738728357376"/>
    <n v="0"/>
    <n v="492.24942360000028"/>
    <n v="0"/>
    <n v="548.01654487105361"/>
    <x v="0"/>
  </r>
  <r>
    <s v="Regular"/>
    <x v="0"/>
    <x v="1"/>
    <x v="0"/>
    <x v="0"/>
    <x v="0"/>
    <x v="0"/>
    <x v="0"/>
    <x v="6"/>
    <n v="0"/>
    <n v="0"/>
    <n v="47.715000000000003"/>
    <n v="44.8521"/>
    <n v="47.715000000000003"/>
    <n v="44.8521"/>
    <n v="0"/>
    <s v="CATIVO"/>
    <n v="0"/>
    <n v="0"/>
    <n v="10"/>
    <n v="40"/>
    <n v="0"/>
    <n v="66.040000000000006"/>
    <n v="119.97"/>
    <m/>
    <n v="98.415755172877127"/>
    <n v="108.66738728357376"/>
    <n v="0"/>
    <n v="532.52802900000063"/>
    <n v="0"/>
    <n v="592.85832853857391"/>
    <x v="0"/>
  </r>
  <r>
    <s v="Regular"/>
    <x v="0"/>
    <x v="1"/>
    <x v="0"/>
    <x v="0"/>
    <x v="0"/>
    <x v="0"/>
    <x v="0"/>
    <x v="2"/>
    <n v="0"/>
    <n v="0"/>
    <n v="27.297999999999998"/>
    <n v="25.660119999999999"/>
    <n v="27.297999999999998"/>
    <n v="25.660119999999999"/>
    <n v="0"/>
    <s v="CATIVO"/>
    <n v="0"/>
    <n v="0"/>
    <n v="10"/>
    <n v="40"/>
    <n v="0"/>
    <n v="66.040000000000006"/>
    <n v="119.97"/>
    <m/>
    <n v="98.415755172877127"/>
    <n v="108.66738728357376"/>
    <n v="0"/>
    <n v="304.66205879999984"/>
    <n v="0"/>
    <n v="339.17733736657158"/>
    <x v="0"/>
  </r>
  <r>
    <s v="Regular"/>
    <x v="0"/>
    <x v="1"/>
    <x v="0"/>
    <x v="0"/>
    <x v="0"/>
    <x v="0"/>
    <x v="0"/>
    <x v="3"/>
    <n v="0"/>
    <n v="0"/>
    <n v="33.279000000000003"/>
    <n v="31.282260000000001"/>
    <n v="33.279000000000003"/>
    <n v="31.282260000000001"/>
    <n v="0"/>
    <s v="CATIVO"/>
    <n v="0"/>
    <n v="0"/>
    <n v="10"/>
    <n v="40"/>
    <n v="0"/>
    <n v="66.040000000000006"/>
    <n v="119.97"/>
    <m/>
    <n v="98.415755172877127"/>
    <n v="108.66738728357376"/>
    <n v="0"/>
    <n v="371.4136074000005"/>
    <n v="0"/>
    <n v="413.49119386849429"/>
    <x v="0"/>
  </r>
  <r>
    <s v="Regular"/>
    <x v="0"/>
    <x v="1"/>
    <x v="0"/>
    <x v="0"/>
    <x v="0"/>
    <x v="0"/>
    <x v="0"/>
    <x v="7"/>
    <n v="0"/>
    <n v="0"/>
    <n v="32.734999999999999"/>
    <n v="30.770900000000001"/>
    <n v="32.734999999999999"/>
    <n v="30.770900000000001"/>
    <n v="0"/>
    <s v="CATIVO"/>
    <n v="0"/>
    <n v="0"/>
    <n v="10"/>
    <n v="40"/>
    <n v="0"/>
    <n v="66.040000000000006"/>
    <n v="119.97"/>
    <m/>
    <n v="98.415755172877127"/>
    <n v="108.66738728357376"/>
    <n v="0"/>
    <n v="365.34224099999972"/>
    <n v="0"/>
    <n v="406.73200009871488"/>
    <x v="0"/>
  </r>
  <r>
    <s v="Regular"/>
    <x v="0"/>
    <x v="1"/>
    <x v="0"/>
    <x v="0"/>
    <x v="0"/>
    <x v="0"/>
    <x v="0"/>
    <x v="8"/>
    <n v="0"/>
    <n v="0"/>
    <n v="34.439"/>
    <n v="32.372660000000003"/>
    <n v="34.439"/>
    <n v="32.372660000000003"/>
    <n v="0"/>
    <s v="CATIVO"/>
    <n v="0"/>
    <n v="0"/>
    <n v="10"/>
    <n v="40"/>
    <n v="0"/>
    <n v="66.040000000000006"/>
    <n v="119.97"/>
    <m/>
    <n v="98.415755172877127"/>
    <n v="108.66738728357376"/>
    <n v="0"/>
    <n v="384.35990339999944"/>
    <n v="0"/>
    <n v="427.90418058346205"/>
    <x v="0"/>
  </r>
  <r>
    <s v="Regular"/>
    <x v="0"/>
    <x v="1"/>
    <x v="0"/>
    <x v="0"/>
    <x v="0"/>
    <x v="0"/>
    <x v="0"/>
    <x v="9"/>
    <n v="0"/>
    <n v="0"/>
    <n v="34.14"/>
    <n v="32.0916"/>
    <n v="34.14"/>
    <n v="32.0916"/>
    <n v="0"/>
    <s v="CATIVO"/>
    <n v="0"/>
    <n v="0"/>
    <n v="10"/>
    <n v="40"/>
    <n v="0"/>
    <n v="66.040000000000006"/>
    <n v="119.97"/>
    <m/>
    <n v="98.415755172877127"/>
    <n v="108.66738728357376"/>
    <n v="0"/>
    <n v="381.0228840000002"/>
    <n v="0"/>
    <n v="424.18910900779417"/>
    <x v="0"/>
  </r>
  <r>
    <s v="Regular"/>
    <x v="0"/>
    <x v="1"/>
    <x v="0"/>
    <x v="0"/>
    <x v="0"/>
    <x v="0"/>
    <x v="0"/>
    <x v="10"/>
    <n v="0"/>
    <n v="0"/>
    <n v="39.697000000000003"/>
    <n v="37.315179999999998"/>
    <n v="39.697000000000003"/>
    <n v="37.315179999999998"/>
    <n v="0"/>
    <s v="CATIVO"/>
    <n v="0"/>
    <n v="0"/>
    <n v="10"/>
    <n v="40"/>
    <n v="0"/>
    <n v="66.040000000000006"/>
    <n v="119.97"/>
    <m/>
    <n v="98.415755172877127"/>
    <n v="108.66738728357376"/>
    <n v="0"/>
    <n v="443.04233820000093"/>
    <n v="0"/>
    <n v="493.23477036562485"/>
    <x v="0"/>
  </r>
  <r>
    <s v="PROJETADO"/>
    <x v="0"/>
    <x v="1"/>
    <x v="0"/>
    <x v="0"/>
    <x v="0"/>
    <x v="0"/>
    <x v="0"/>
    <x v="11"/>
    <n v="0"/>
    <n v="0"/>
    <n v="39.697000000000003"/>
    <n v="37.315179999999998"/>
    <n v="39.697000000000003"/>
    <n v="37.315179999999998"/>
    <n v="0"/>
    <s v="CATIVO"/>
    <n v="0"/>
    <n v="0"/>
    <n v="10"/>
    <n v="40"/>
    <n v="0"/>
    <n v="66.040000000000006"/>
    <n v="119.97"/>
    <m/>
    <n v="98.415755172877127"/>
    <n v="108.66738728357376"/>
    <n v="0"/>
    <n v="443.04233820000093"/>
    <n v="0"/>
    <n v="493.23477036562485"/>
    <x v="0"/>
  </r>
  <r>
    <s v="Regular"/>
    <x v="0"/>
    <x v="1"/>
    <x v="0"/>
    <x v="0"/>
    <x v="0"/>
    <x v="0"/>
    <x v="2"/>
    <x v="4"/>
    <n v="100"/>
    <n v="85"/>
    <n v="0"/>
    <n v="0"/>
    <n v="0"/>
    <n v="0"/>
    <n v="1"/>
    <s v="CATIVO"/>
    <n v="0"/>
    <n v="27"/>
    <n v="0"/>
    <n v="0"/>
    <n v="41.15"/>
    <n v="0"/>
    <n v="0"/>
    <n v="40.015880356222226"/>
    <m/>
    <m/>
    <n v="617.25"/>
    <n v="0"/>
    <n v="600.23820534333345"/>
    <n v="0"/>
    <x v="0"/>
  </r>
  <r>
    <s v="Regular"/>
    <x v="0"/>
    <x v="1"/>
    <x v="0"/>
    <x v="0"/>
    <x v="0"/>
    <x v="0"/>
    <x v="2"/>
    <x v="5"/>
    <n v="100"/>
    <n v="85"/>
    <n v="0"/>
    <n v="0"/>
    <n v="0"/>
    <n v="0"/>
    <n v="1"/>
    <s v="CATIVO"/>
    <n v="0"/>
    <n v="27"/>
    <n v="0"/>
    <n v="0"/>
    <n v="41.15"/>
    <n v="0"/>
    <n v="0"/>
    <n v="40.015880356222226"/>
    <m/>
    <m/>
    <n v="617.25"/>
    <n v="0"/>
    <n v="600.23820534333345"/>
    <n v="0"/>
    <x v="0"/>
  </r>
  <r>
    <s v="Regular"/>
    <x v="0"/>
    <x v="1"/>
    <x v="0"/>
    <x v="0"/>
    <x v="0"/>
    <x v="0"/>
    <x v="2"/>
    <x v="6"/>
    <n v="101"/>
    <n v="85.85"/>
    <n v="0"/>
    <n v="0"/>
    <n v="0"/>
    <n v="0"/>
    <n v="1"/>
    <s v="CATIVO"/>
    <n v="0"/>
    <n v="27"/>
    <n v="0"/>
    <n v="0"/>
    <n v="41.15"/>
    <n v="0"/>
    <n v="0"/>
    <n v="40.015880356222226"/>
    <m/>
    <m/>
    <n v="623.42250000000024"/>
    <n v="0"/>
    <n v="606.24058739676695"/>
    <n v="0"/>
    <x v="0"/>
  </r>
  <r>
    <s v="Regular"/>
    <x v="0"/>
    <x v="1"/>
    <x v="0"/>
    <x v="0"/>
    <x v="0"/>
    <x v="0"/>
    <x v="2"/>
    <x v="2"/>
    <n v="100"/>
    <n v="85"/>
    <n v="0"/>
    <n v="0"/>
    <n v="0"/>
    <n v="0"/>
    <n v="1"/>
    <s v="CATIVO"/>
    <n v="0"/>
    <n v="27"/>
    <n v="0"/>
    <n v="0"/>
    <n v="41.15"/>
    <n v="0"/>
    <n v="0"/>
    <n v="40.015880356222226"/>
    <m/>
    <m/>
    <n v="617.25"/>
    <n v="0"/>
    <n v="600.23820534333345"/>
    <n v="0"/>
    <x v="0"/>
  </r>
  <r>
    <s v="Regular"/>
    <x v="0"/>
    <x v="1"/>
    <x v="0"/>
    <x v="0"/>
    <x v="0"/>
    <x v="0"/>
    <x v="2"/>
    <x v="3"/>
    <n v="100"/>
    <n v="85"/>
    <n v="0"/>
    <n v="0"/>
    <n v="0"/>
    <n v="0"/>
    <n v="1"/>
    <s v="CATIVO"/>
    <n v="0"/>
    <n v="27"/>
    <n v="0"/>
    <n v="0"/>
    <n v="41.15"/>
    <n v="0"/>
    <n v="0"/>
    <n v="40.015880356222226"/>
    <m/>
    <m/>
    <n v="617.25"/>
    <n v="0"/>
    <n v="600.23820534333345"/>
    <n v="0"/>
    <x v="0"/>
  </r>
  <r>
    <s v="Regular"/>
    <x v="0"/>
    <x v="1"/>
    <x v="0"/>
    <x v="0"/>
    <x v="0"/>
    <x v="0"/>
    <x v="2"/>
    <x v="7"/>
    <n v="100"/>
    <n v="85"/>
    <n v="0"/>
    <n v="0"/>
    <n v="0"/>
    <n v="0"/>
    <n v="1"/>
    <s v="CATIVO"/>
    <n v="0"/>
    <n v="27"/>
    <n v="0"/>
    <n v="0"/>
    <n v="41.15"/>
    <n v="0"/>
    <n v="0"/>
    <n v="40.015880356222226"/>
    <m/>
    <m/>
    <n v="617.25"/>
    <n v="0"/>
    <n v="600.23820534333345"/>
    <n v="0"/>
    <x v="0"/>
  </r>
  <r>
    <s v="Regular"/>
    <x v="0"/>
    <x v="1"/>
    <x v="0"/>
    <x v="0"/>
    <x v="0"/>
    <x v="0"/>
    <x v="2"/>
    <x v="8"/>
    <n v="100"/>
    <n v="85"/>
    <n v="0"/>
    <n v="0"/>
    <n v="0"/>
    <n v="0"/>
    <n v="1"/>
    <s v="CATIVO"/>
    <n v="0"/>
    <n v="27"/>
    <n v="0"/>
    <n v="0"/>
    <n v="41.15"/>
    <n v="0"/>
    <n v="0"/>
    <n v="40.015880356222226"/>
    <m/>
    <m/>
    <n v="617.25"/>
    <n v="0"/>
    <n v="600.23820534333345"/>
    <n v="0"/>
    <x v="0"/>
  </r>
  <r>
    <s v="Regular"/>
    <x v="0"/>
    <x v="1"/>
    <x v="0"/>
    <x v="0"/>
    <x v="0"/>
    <x v="0"/>
    <x v="2"/>
    <x v="9"/>
    <n v="100"/>
    <n v="85"/>
    <n v="0"/>
    <n v="0"/>
    <n v="0"/>
    <n v="0"/>
    <n v="1"/>
    <s v="CATIVO"/>
    <n v="0"/>
    <n v="27"/>
    <n v="0"/>
    <n v="0"/>
    <n v="41.15"/>
    <n v="0"/>
    <n v="0"/>
    <n v="40.015880356222226"/>
    <m/>
    <m/>
    <n v="617.25"/>
    <n v="0"/>
    <n v="600.23820534333345"/>
    <n v="0"/>
    <x v="0"/>
  </r>
  <r>
    <s v="Regular"/>
    <x v="0"/>
    <x v="1"/>
    <x v="0"/>
    <x v="0"/>
    <x v="0"/>
    <x v="0"/>
    <x v="2"/>
    <x v="10"/>
    <n v="100"/>
    <n v="85"/>
    <n v="0"/>
    <n v="0"/>
    <n v="0"/>
    <n v="0"/>
    <n v="1"/>
    <s v="CATIVO"/>
    <n v="0"/>
    <n v="27"/>
    <n v="0"/>
    <n v="0"/>
    <n v="41.15"/>
    <n v="0"/>
    <n v="0"/>
    <n v="40.015880356222226"/>
    <m/>
    <m/>
    <n v="617.25"/>
    <n v="0"/>
    <n v="600.23820534333345"/>
    <n v="0"/>
    <x v="0"/>
  </r>
  <r>
    <s v="PROJETADO"/>
    <x v="0"/>
    <x v="1"/>
    <x v="0"/>
    <x v="0"/>
    <x v="0"/>
    <x v="0"/>
    <x v="2"/>
    <x v="11"/>
    <n v="100"/>
    <n v="85"/>
    <n v="0"/>
    <n v="0"/>
    <n v="0"/>
    <n v="0"/>
    <n v="1"/>
    <s v="CATIVO"/>
    <n v="0"/>
    <n v="27"/>
    <n v="0"/>
    <n v="0"/>
    <n v="41.15"/>
    <n v="0"/>
    <n v="0"/>
    <n v="40.015880356222226"/>
    <m/>
    <m/>
    <n v="617.25"/>
    <n v="0"/>
    <n v="600.23820534333345"/>
    <n v="0"/>
    <x v="0"/>
  </r>
  <r>
    <s v="Regular"/>
    <x v="0"/>
    <x v="1"/>
    <x v="0"/>
    <x v="0"/>
    <x v="0"/>
    <x v="0"/>
    <x v="1"/>
    <x v="4"/>
    <n v="0"/>
    <n v="0"/>
    <n v="4.5609999999999999"/>
    <n v="4.2873400000000004"/>
    <n v="4.5609999999999999"/>
    <n v="4.2873400000000004"/>
    <n v="0"/>
    <s v="CATIVO"/>
    <n v="0"/>
    <n v="0"/>
    <n v="32"/>
    <n v="34"/>
    <n v="0"/>
    <n v="2859.84"/>
    <n v="119.97"/>
    <m/>
    <n v="2742.094396913973"/>
    <n v="108.66738728357376"/>
    <n v="0"/>
    <n v="815.45480459999874"/>
    <n v="0"/>
    <n v="780.13946986349947"/>
    <x v="0"/>
  </r>
  <r>
    <s v="Regular"/>
    <x v="0"/>
    <x v="1"/>
    <x v="0"/>
    <x v="0"/>
    <x v="0"/>
    <x v="0"/>
    <x v="1"/>
    <x v="5"/>
    <n v="0"/>
    <n v="0"/>
    <n v="5.7910000000000004"/>
    <n v="5.4435399999999996"/>
    <n v="5.7910000000000004"/>
    <n v="5.4435399999999996"/>
    <n v="0"/>
    <s v="CATIVO"/>
    <n v="0"/>
    <n v="0"/>
    <n v="32"/>
    <n v="34"/>
    <n v="0"/>
    <n v="2859.84"/>
    <n v="119.97"/>
    <m/>
    <n v="2742.094396913973"/>
    <n v="108.66738728357376"/>
    <n v="0"/>
    <n v="1035.3647826000024"/>
    <n v="0"/>
    <n v="990.52568953728178"/>
    <x v="0"/>
  </r>
  <r>
    <s v="Regular"/>
    <x v="0"/>
    <x v="1"/>
    <x v="0"/>
    <x v="0"/>
    <x v="0"/>
    <x v="0"/>
    <x v="1"/>
    <x v="6"/>
    <n v="0"/>
    <n v="0"/>
    <n v="5.6879999999999997"/>
    <n v="5.3467200000000004"/>
    <n v="5.6879999999999997"/>
    <n v="5.3467200000000004"/>
    <n v="0"/>
    <s v="CATIVO"/>
    <n v="0"/>
    <n v="0"/>
    <n v="32"/>
    <n v="34"/>
    <n v="0"/>
    <n v="2859.84"/>
    <n v="119.97"/>
    <m/>
    <n v="2742.094396913973"/>
    <n v="108.66738728357376"/>
    <n v="0"/>
    <n v="1016.9495567999982"/>
    <n v="0"/>
    <n v="972.90798171093695"/>
    <x v="0"/>
  </r>
  <r>
    <s v="Regular"/>
    <x v="0"/>
    <x v="1"/>
    <x v="0"/>
    <x v="0"/>
    <x v="0"/>
    <x v="0"/>
    <x v="1"/>
    <x v="2"/>
    <n v="0"/>
    <n v="0"/>
    <n v="3.3929999999999998"/>
    <n v="3.1894200000000001"/>
    <n v="3.3929999999999998"/>
    <n v="3.1894200000000001"/>
    <n v="0"/>
    <s v="CATIVO"/>
    <n v="0"/>
    <n v="0"/>
    <n v="32"/>
    <n v="34"/>
    <n v="0"/>
    <n v="2859.84"/>
    <n v="119.97"/>
    <m/>
    <n v="2742.094396913973"/>
    <n v="108.66738728357376"/>
    <n v="0"/>
    <n v="606.62971979999895"/>
    <n v="0"/>
    <n v="580.35808402693556"/>
    <x v="0"/>
  </r>
  <r>
    <s v="Regular"/>
    <x v="0"/>
    <x v="1"/>
    <x v="0"/>
    <x v="0"/>
    <x v="0"/>
    <x v="0"/>
    <x v="1"/>
    <x v="3"/>
    <n v="0"/>
    <n v="0"/>
    <n v="3.51"/>
    <n v="3.2993999999999999"/>
    <n v="3.51"/>
    <n v="3.2993999999999999"/>
    <n v="0"/>
    <s v="CATIVO"/>
    <n v="0"/>
    <n v="0"/>
    <n v="32"/>
    <n v="34"/>
    <n v="0"/>
    <n v="2859.84"/>
    <n v="119.97"/>
    <m/>
    <n v="2742.094396913973"/>
    <n v="108.66738728357376"/>
    <n v="0"/>
    <n v="627.5479859999997"/>
    <n v="0"/>
    <n v="600.37043175200313"/>
    <x v="0"/>
  </r>
  <r>
    <s v="Regular"/>
    <x v="0"/>
    <x v="1"/>
    <x v="0"/>
    <x v="0"/>
    <x v="0"/>
    <x v="0"/>
    <x v="1"/>
    <x v="7"/>
    <n v="0"/>
    <n v="0"/>
    <n v="3.347"/>
    <n v="3.1461800000000002"/>
    <n v="3.347"/>
    <n v="3.1461800000000002"/>
    <n v="0"/>
    <s v="CATIVO"/>
    <n v="0"/>
    <n v="0"/>
    <n v="32"/>
    <n v="34"/>
    <n v="0"/>
    <n v="2859.84"/>
    <n v="119.97"/>
    <m/>
    <n v="2742.094396913973"/>
    <n v="108.66738728357376"/>
    <n v="0"/>
    <n v="598.40544419999935"/>
    <n v="0"/>
    <n v="572.48998150255068"/>
    <x v="0"/>
  </r>
  <r>
    <s v="Regular"/>
    <x v="0"/>
    <x v="1"/>
    <x v="0"/>
    <x v="0"/>
    <x v="0"/>
    <x v="0"/>
    <x v="1"/>
    <x v="8"/>
    <n v="0"/>
    <n v="0"/>
    <n v="4.077"/>
    <n v="3.8323800000000001"/>
    <n v="4.077"/>
    <n v="3.8323800000000001"/>
    <n v="0"/>
    <s v="CATIVO"/>
    <n v="0"/>
    <n v="0"/>
    <n v="32"/>
    <n v="34"/>
    <n v="0"/>
    <n v="2859.84"/>
    <n v="119.97"/>
    <m/>
    <n v="2742.094396913973"/>
    <n v="108.66738728357376"/>
    <n v="0"/>
    <n v="728.92112219999956"/>
    <n v="0"/>
    <n v="697.35334765040341"/>
    <x v="0"/>
  </r>
  <r>
    <s v="Regular"/>
    <x v="0"/>
    <x v="1"/>
    <x v="0"/>
    <x v="0"/>
    <x v="0"/>
    <x v="0"/>
    <x v="1"/>
    <x v="9"/>
    <n v="0"/>
    <n v="0"/>
    <n v="3.8940000000000001"/>
    <n v="3.6603599999999998"/>
    <n v="3.8940000000000001"/>
    <n v="3.6603599999999998"/>
    <n v="0"/>
    <s v="CATIVO"/>
    <n v="0"/>
    <n v="0"/>
    <n v="32"/>
    <n v="34"/>
    <n v="0"/>
    <n v="2859.84"/>
    <n v="119.97"/>
    <m/>
    <n v="2742.094396913973"/>
    <n v="108.66738728357376"/>
    <n v="0"/>
    <n v="696.20280840000089"/>
    <n v="0"/>
    <n v="666.05198325991569"/>
    <x v="0"/>
  </r>
  <r>
    <s v="Regular"/>
    <x v="0"/>
    <x v="1"/>
    <x v="0"/>
    <x v="0"/>
    <x v="0"/>
    <x v="0"/>
    <x v="1"/>
    <x v="10"/>
    <n v="0"/>
    <n v="0"/>
    <n v="4.5410000000000004"/>
    <n v="4.2685399999999998"/>
    <n v="4.5410000000000004"/>
    <n v="4.2685399999999998"/>
    <n v="0"/>
    <s v="CATIVO"/>
    <n v="0"/>
    <n v="0"/>
    <n v="32"/>
    <n v="34"/>
    <n v="0"/>
    <n v="2859.84"/>
    <n v="119.97"/>
    <m/>
    <n v="2742.094396913973"/>
    <n v="108.66738728357376"/>
    <n v="0"/>
    <n v="811.87903260000178"/>
    <n v="0"/>
    <n v="776.71855572246534"/>
    <x v="0"/>
  </r>
  <r>
    <s v="PROJETADO"/>
    <x v="0"/>
    <x v="1"/>
    <x v="0"/>
    <x v="0"/>
    <x v="0"/>
    <x v="0"/>
    <x v="1"/>
    <x v="11"/>
    <n v="0"/>
    <n v="0"/>
    <n v="4.5410000000000004"/>
    <n v="4.2685399999999998"/>
    <n v="4.5410000000000004"/>
    <n v="4.2685399999999998"/>
    <n v="0"/>
    <s v="CATIVO"/>
    <n v="0"/>
    <n v="0"/>
    <n v="32"/>
    <n v="34"/>
    <n v="0"/>
    <n v="2859.84"/>
    <n v="119.97"/>
    <m/>
    <n v="2742.094396913973"/>
    <n v="108.66738728357376"/>
    <n v="0"/>
    <n v="811.87903260000178"/>
    <n v="0"/>
    <n v="776.71855572246534"/>
    <x v="0"/>
  </r>
  <r>
    <s v="Regular"/>
    <x v="1"/>
    <x v="2"/>
    <x v="2"/>
    <x v="2"/>
    <x v="0"/>
    <x v="0"/>
    <x v="2"/>
    <x v="0"/>
    <n v="0"/>
    <n v="0"/>
    <n v="480.62900000000002"/>
    <n v="480.62900000000002"/>
    <n v="480.62900000000002"/>
    <n v="480.62900000000002"/>
    <n v="3107"/>
    <s v="CATIVO"/>
    <n v="0"/>
    <n v="0"/>
    <n v="15"/>
    <n v="43"/>
    <n v="0"/>
    <n v="609.05999999999995"/>
    <n v="119.97"/>
    <m/>
    <n v="614.27335522224178"/>
    <n v="108.66738728357376"/>
    <n v="0"/>
    <n v="0"/>
    <n v="0"/>
    <n v="0"/>
    <x v="2"/>
  </r>
  <r>
    <s v="Regular"/>
    <x v="1"/>
    <x v="2"/>
    <x v="2"/>
    <x v="3"/>
    <x v="0"/>
    <x v="0"/>
    <x v="2"/>
    <x v="0"/>
    <n v="0"/>
    <n v="0"/>
    <n v="3.93"/>
    <n v="3.93"/>
    <n v="3.93"/>
    <n v="3.93"/>
    <n v="13"/>
    <s v="CATIVO"/>
    <n v="0"/>
    <n v="0"/>
    <n v="2"/>
    <n v="38"/>
    <n v="0"/>
    <n v="190.95"/>
    <n v="41.99"/>
    <m/>
    <n v="178.66977427950042"/>
    <n v="38.033585549250816"/>
    <n v="0"/>
    <n v="1700.0787"/>
    <n v="0"/>
    <n v="1581.6249505215574"/>
    <x v="3"/>
  </r>
  <r>
    <s v="Regular"/>
    <x v="1"/>
    <x v="2"/>
    <x v="2"/>
    <x v="3"/>
    <x v="0"/>
    <x v="0"/>
    <x v="2"/>
    <x v="1"/>
    <n v="0"/>
    <n v="0"/>
    <n v="4.05"/>
    <n v="4.05"/>
    <n v="4.05"/>
    <n v="4.05"/>
    <n v="7"/>
    <s v="CATIVO"/>
    <n v="0"/>
    <n v="0"/>
    <n v="2"/>
    <n v="38"/>
    <n v="0"/>
    <n v="190.95"/>
    <n v="41.99"/>
    <m/>
    <n v="178.66977427950042"/>
    <n v="38.033585549250816"/>
    <n v="0"/>
    <n v="1751.9894999999999"/>
    <n v="0"/>
    <n v="1629.9188421405361"/>
    <x v="3"/>
  </r>
  <r>
    <s v="Regular"/>
    <x v="1"/>
    <x v="2"/>
    <x v="2"/>
    <x v="3"/>
    <x v="0"/>
    <x v="0"/>
    <x v="2"/>
    <x v="4"/>
    <n v="0"/>
    <n v="0"/>
    <n v="4.08"/>
    <n v="4.08"/>
    <n v="4.08"/>
    <n v="4.08"/>
    <n v="7"/>
    <s v="CATIVO"/>
    <n v="0"/>
    <n v="0"/>
    <n v="2"/>
    <n v="38"/>
    <n v="0"/>
    <n v="190.95"/>
    <n v="41.99"/>
    <m/>
    <n v="178.66977427950042"/>
    <n v="38.033585549250816"/>
    <n v="0"/>
    <n v="1764.9671999999998"/>
    <n v="0"/>
    <n v="1641.992315045281"/>
    <x v="3"/>
  </r>
  <r>
    <s v="Regular"/>
    <x v="1"/>
    <x v="2"/>
    <x v="2"/>
    <x v="3"/>
    <x v="0"/>
    <x v="0"/>
    <x v="2"/>
    <x v="5"/>
    <n v="0"/>
    <n v="0"/>
    <n v="4.17"/>
    <n v="4.17"/>
    <n v="4.17"/>
    <n v="4.17"/>
    <n v="7"/>
    <s v="CATIVO"/>
    <n v="0"/>
    <n v="0"/>
    <n v="2"/>
    <n v="38"/>
    <n v="0"/>
    <n v="190.95"/>
    <n v="41.99"/>
    <m/>
    <n v="178.66977427950042"/>
    <n v="38.033585549250816"/>
    <n v="0"/>
    <n v="1803.9002999999998"/>
    <n v="0"/>
    <n v="1678.212733759515"/>
    <x v="3"/>
  </r>
  <r>
    <s v="Regular"/>
    <x v="1"/>
    <x v="2"/>
    <x v="2"/>
    <x v="3"/>
    <x v="0"/>
    <x v="0"/>
    <x v="2"/>
    <x v="6"/>
    <n v="0"/>
    <n v="0"/>
    <n v="4.2300000000000004"/>
    <n v="4.2300000000000004"/>
    <n v="4.2300000000000004"/>
    <n v="4.2300000000000004"/>
    <n v="10"/>
    <s v="CATIVO"/>
    <n v="0"/>
    <n v="0"/>
    <n v="2"/>
    <n v="38"/>
    <n v="0"/>
    <n v="190.95"/>
    <n v="41.99"/>
    <m/>
    <n v="178.66977427950042"/>
    <n v="38.033585549250816"/>
    <n v="0"/>
    <n v="1829.8557000000001"/>
    <n v="0"/>
    <n v="1702.3596795690046"/>
    <x v="3"/>
  </r>
  <r>
    <s v="Regular"/>
    <x v="1"/>
    <x v="2"/>
    <x v="2"/>
    <x v="3"/>
    <x v="0"/>
    <x v="0"/>
    <x v="2"/>
    <x v="2"/>
    <n v="0"/>
    <n v="0"/>
    <n v="4.41"/>
    <n v="4.41"/>
    <n v="4.41"/>
    <n v="4.41"/>
    <n v="7"/>
    <s v="CATIVO"/>
    <n v="0"/>
    <n v="0"/>
    <n v="2"/>
    <n v="38"/>
    <n v="0"/>
    <n v="190.95"/>
    <n v="41.99"/>
    <m/>
    <n v="178.66977427950042"/>
    <n v="38.033585549250816"/>
    <n v="0"/>
    <n v="1907.7219"/>
    <n v="0"/>
    <n v="1774.8005169974729"/>
    <x v="3"/>
  </r>
  <r>
    <s v="Regular"/>
    <x v="1"/>
    <x v="2"/>
    <x v="2"/>
    <x v="3"/>
    <x v="0"/>
    <x v="0"/>
    <x v="2"/>
    <x v="3"/>
    <n v="0"/>
    <n v="0"/>
    <n v="4.53"/>
    <n v="4.53"/>
    <n v="4.53"/>
    <n v="4.53"/>
    <n v="9"/>
    <s v="CATIVO"/>
    <n v="0"/>
    <n v="0"/>
    <n v="2"/>
    <n v="38"/>
    <n v="0"/>
    <n v="190.95"/>
    <n v="41.99"/>
    <m/>
    <n v="178.66977427950042"/>
    <n v="38.033585549250816"/>
    <n v="0"/>
    <n v="1959.6326999999999"/>
    <n v="0"/>
    <n v="1823.0944086164518"/>
    <x v="3"/>
  </r>
  <r>
    <s v="Refaturamento - Regular"/>
    <x v="1"/>
    <x v="2"/>
    <x v="2"/>
    <x v="3"/>
    <x v="0"/>
    <x v="0"/>
    <x v="2"/>
    <x v="3"/>
    <n v="0"/>
    <n v="0"/>
    <n v="0.03"/>
    <n v="0.03"/>
    <n v="0.03"/>
    <n v="0.03"/>
    <n v="0"/>
    <s v="CATIVO"/>
    <n v="0"/>
    <n v="0"/>
    <n v="2"/>
    <n v="38"/>
    <n v="0"/>
    <n v="190.95"/>
    <n v="41.99"/>
    <m/>
    <n v="178.66977427950042"/>
    <n v="38.033585549250816"/>
    <n v="0"/>
    <n v="12.977699999999999"/>
    <n v="0"/>
    <n v="12.073472904744712"/>
    <x v="3"/>
  </r>
  <r>
    <s v="Regular"/>
    <x v="1"/>
    <x v="2"/>
    <x v="2"/>
    <x v="3"/>
    <x v="0"/>
    <x v="0"/>
    <x v="2"/>
    <x v="7"/>
    <n v="0"/>
    <n v="0"/>
    <n v="5.19"/>
    <n v="5.19"/>
    <n v="5.19"/>
    <n v="5.19"/>
    <n v="13"/>
    <s v="CATIVO"/>
    <n v="0"/>
    <n v="0"/>
    <n v="2"/>
    <n v="38"/>
    <n v="0"/>
    <n v="190.95"/>
    <n v="41.99"/>
    <m/>
    <n v="178.66977427950042"/>
    <n v="38.033585549250816"/>
    <n v="0"/>
    <n v="2245.1421"/>
    <n v="0"/>
    <n v="2088.7108125208356"/>
    <x v="3"/>
  </r>
  <r>
    <s v="Regular"/>
    <x v="1"/>
    <x v="2"/>
    <x v="2"/>
    <x v="3"/>
    <x v="0"/>
    <x v="0"/>
    <x v="2"/>
    <x v="8"/>
    <n v="0"/>
    <n v="0"/>
    <n v="5.58"/>
    <n v="5.58"/>
    <n v="5.58"/>
    <n v="5.58"/>
    <n v="15"/>
    <s v="CATIVO"/>
    <n v="0"/>
    <n v="0"/>
    <n v="2"/>
    <n v="38"/>
    <n v="0"/>
    <n v="190.95"/>
    <n v="41.99"/>
    <m/>
    <n v="178.66977427950042"/>
    <n v="38.033585549250816"/>
    <n v="0"/>
    <n v="2413.8521999999998"/>
    <n v="0"/>
    <n v="2245.6659602825166"/>
    <x v="3"/>
  </r>
  <r>
    <s v="Regular"/>
    <x v="1"/>
    <x v="2"/>
    <x v="2"/>
    <x v="3"/>
    <x v="0"/>
    <x v="0"/>
    <x v="2"/>
    <x v="9"/>
    <n v="0"/>
    <n v="0"/>
    <n v="5.58"/>
    <n v="5.58"/>
    <n v="5.58"/>
    <n v="5.58"/>
    <n v="14"/>
    <s v="CATIVO"/>
    <n v="0"/>
    <n v="0"/>
    <n v="2"/>
    <n v="38"/>
    <n v="0"/>
    <n v="190.95"/>
    <n v="41.99"/>
    <m/>
    <n v="178.66977427950042"/>
    <n v="38.033585549250816"/>
    <n v="0"/>
    <n v="2413.8521999999998"/>
    <n v="0"/>
    <n v="2245.6659602825166"/>
    <x v="3"/>
  </r>
  <r>
    <s v="Regular"/>
    <x v="1"/>
    <x v="2"/>
    <x v="2"/>
    <x v="3"/>
    <x v="0"/>
    <x v="0"/>
    <x v="2"/>
    <x v="10"/>
    <n v="0"/>
    <n v="0"/>
    <n v="5.52"/>
    <n v="5.52"/>
    <n v="5.52"/>
    <n v="5.52"/>
    <n v="12"/>
    <s v="CATIVO"/>
    <n v="0"/>
    <n v="0"/>
    <n v="2"/>
    <n v="38"/>
    <n v="0"/>
    <n v="190.95"/>
    <n v="41.99"/>
    <m/>
    <n v="178.66977427950042"/>
    <n v="38.033585549250816"/>
    <n v="0"/>
    <n v="2387.8967999999995"/>
    <n v="0"/>
    <n v="2221.5190144730268"/>
    <x v="3"/>
  </r>
  <r>
    <s v="PROJETADO"/>
    <x v="1"/>
    <x v="2"/>
    <x v="2"/>
    <x v="3"/>
    <x v="0"/>
    <x v="0"/>
    <x v="2"/>
    <x v="11"/>
    <n v="0"/>
    <n v="0"/>
    <n v="5.52"/>
    <n v="5.52"/>
    <n v="5.52"/>
    <n v="5.52"/>
    <n v="12"/>
    <s v="CATIVO"/>
    <n v="0"/>
    <n v="0"/>
    <n v="2"/>
    <n v="38"/>
    <n v="0"/>
    <n v="190.95"/>
    <n v="41.99"/>
    <m/>
    <n v="178.66977427950042"/>
    <n v="38.033585549250816"/>
    <n v="0"/>
    <n v="2387.8967999999995"/>
    <n v="0"/>
    <n v="2221.5190144730268"/>
    <x v="3"/>
  </r>
  <r>
    <s v="Regular"/>
    <x v="1"/>
    <x v="2"/>
    <x v="2"/>
    <x v="4"/>
    <x v="0"/>
    <x v="0"/>
    <x v="2"/>
    <x v="0"/>
    <n v="0"/>
    <n v="0"/>
    <n v="7.4210000000000003"/>
    <n v="7.4210000000000003"/>
    <n v="7.4210000000000003"/>
    <n v="7.4210000000000003"/>
    <n v="28"/>
    <s v="CATIVO"/>
    <n v="0"/>
    <n v="0"/>
    <n v="4"/>
    <n v="55"/>
    <n v="0"/>
    <n v="327.33999999999997"/>
    <n v="71.98"/>
    <m/>
    <n v="306.29104162200071"/>
    <n v="65.200432370144256"/>
    <n v="0"/>
    <n v="1975.54441"/>
    <n v="0"/>
    <n v="1837.8921523304721"/>
    <x v="3"/>
  </r>
  <r>
    <s v="Regular"/>
    <x v="1"/>
    <x v="2"/>
    <x v="2"/>
    <x v="4"/>
    <x v="0"/>
    <x v="0"/>
    <x v="2"/>
    <x v="1"/>
    <n v="0"/>
    <n v="0"/>
    <n v="8.0079999999999991"/>
    <n v="8.0079999999999991"/>
    <n v="8.0079999999999991"/>
    <n v="8.0079999999999991"/>
    <n v="30"/>
    <s v="CATIVO"/>
    <n v="0"/>
    <n v="0"/>
    <n v="4"/>
    <n v="55"/>
    <n v="0"/>
    <n v="327.33999999999997"/>
    <n v="71.98"/>
    <m/>
    <n v="306.29104162200071"/>
    <n v="65.200432370144256"/>
    <n v="0"/>
    <n v="2131.8096799999994"/>
    <n v="0"/>
    <n v="1983.2691491527314"/>
    <x v="3"/>
  </r>
  <r>
    <s v="Regular"/>
    <x v="1"/>
    <x v="2"/>
    <x v="2"/>
    <x v="4"/>
    <x v="0"/>
    <x v="0"/>
    <x v="2"/>
    <x v="4"/>
    <n v="0"/>
    <n v="0"/>
    <n v="8.048"/>
    <n v="8.048"/>
    <n v="8.048"/>
    <n v="8.048"/>
    <n v="31"/>
    <s v="CATIVO"/>
    <n v="0"/>
    <n v="0"/>
    <n v="4"/>
    <n v="55"/>
    <n v="0"/>
    <n v="327.33999999999997"/>
    <n v="71.98"/>
    <m/>
    <n v="306.29104162200071"/>
    <n v="65.200432370144256"/>
    <n v="0"/>
    <n v="2142.4580799999999"/>
    <n v="0"/>
    <n v="1993.1755884591887"/>
    <x v="3"/>
  </r>
  <r>
    <s v="Regular"/>
    <x v="1"/>
    <x v="2"/>
    <x v="2"/>
    <x v="4"/>
    <x v="0"/>
    <x v="0"/>
    <x v="2"/>
    <x v="5"/>
    <n v="0"/>
    <n v="0"/>
    <n v="8.4770000000000003"/>
    <n v="8.4770000000000003"/>
    <n v="8.4770000000000003"/>
    <n v="8.4770000000000003"/>
    <n v="27"/>
    <s v="CATIVO"/>
    <n v="0"/>
    <n v="0"/>
    <n v="4"/>
    <n v="55"/>
    <n v="0"/>
    <n v="327.33999999999997"/>
    <n v="71.98"/>
    <m/>
    <n v="306.29104162200071"/>
    <n v="65.200432370144256"/>
    <n v="0"/>
    <n v="2256.6621700000001"/>
    <n v="0"/>
    <n v="2099.4221500209424"/>
    <x v="3"/>
  </r>
  <r>
    <s v="Regular"/>
    <x v="1"/>
    <x v="2"/>
    <x v="2"/>
    <x v="4"/>
    <x v="0"/>
    <x v="0"/>
    <x v="2"/>
    <x v="6"/>
    <n v="0"/>
    <n v="0"/>
    <n v="8.7029999999999994"/>
    <n v="8.7029999999999994"/>
    <n v="8.7029999999999994"/>
    <n v="8.7029999999999994"/>
    <n v="23"/>
    <s v="CATIVO"/>
    <n v="0"/>
    <n v="0"/>
    <n v="4"/>
    <n v="55"/>
    <n v="0"/>
    <n v="327.33999999999997"/>
    <n v="71.98"/>
    <m/>
    <n v="306.29104162200071"/>
    <n v="65.200432370144256"/>
    <n v="0"/>
    <n v="2316.8256299999998"/>
    <n v="0"/>
    <n v="2155.3935321024251"/>
    <x v="3"/>
  </r>
  <r>
    <s v="Regular"/>
    <x v="1"/>
    <x v="2"/>
    <x v="2"/>
    <x v="4"/>
    <x v="0"/>
    <x v="0"/>
    <x v="2"/>
    <x v="2"/>
    <n v="0"/>
    <n v="0"/>
    <n v="9.3819999999999997"/>
    <n v="9.3819999999999997"/>
    <n v="9.3819999999999997"/>
    <n v="9.3819999999999997"/>
    <n v="17"/>
    <s v="CATIVO"/>
    <n v="0"/>
    <n v="0"/>
    <n v="4"/>
    <n v="55"/>
    <n v="0"/>
    <n v="327.33999999999997"/>
    <n v="71.98"/>
    <m/>
    <n v="306.29104162200071"/>
    <n v="65.200432370144256"/>
    <n v="0"/>
    <n v="2497.5822199999998"/>
    <n v="0"/>
    <n v="2323.5553393295363"/>
    <x v="3"/>
  </r>
  <r>
    <s v="Regular"/>
    <x v="1"/>
    <x v="2"/>
    <x v="2"/>
    <x v="4"/>
    <x v="0"/>
    <x v="0"/>
    <x v="2"/>
    <x v="3"/>
    <n v="0"/>
    <n v="0"/>
    <n v="9.3979999999999997"/>
    <n v="9.3979999999999997"/>
    <n v="9.3979999999999997"/>
    <n v="9.3979999999999997"/>
    <n v="20"/>
    <s v="CATIVO"/>
    <n v="0"/>
    <n v="0"/>
    <n v="4"/>
    <n v="55"/>
    <n v="0"/>
    <n v="327.33999999999997"/>
    <n v="71.98"/>
    <m/>
    <n v="306.29104162200071"/>
    <n v="65.200432370144256"/>
    <n v="0"/>
    <n v="2501.8415799999998"/>
    <n v="0"/>
    <n v="2327.517915052119"/>
    <x v="3"/>
  </r>
  <r>
    <s v="Refaturamento - Regular"/>
    <x v="1"/>
    <x v="2"/>
    <x v="2"/>
    <x v="4"/>
    <x v="0"/>
    <x v="0"/>
    <x v="2"/>
    <x v="3"/>
    <n v="0"/>
    <n v="0"/>
    <n v="7.0000000000000007E-2"/>
    <n v="7.0000000000000007E-2"/>
    <n v="7.0000000000000007E-2"/>
    <n v="7.0000000000000007E-2"/>
    <n v="0"/>
    <s v="CATIVO"/>
    <n v="0"/>
    <n v="0"/>
    <n v="4"/>
    <n v="55"/>
    <n v="0"/>
    <n v="327.33999999999997"/>
    <n v="71.98"/>
    <m/>
    <n v="306.29104162200071"/>
    <n v="65.200432370144256"/>
    <n v="0"/>
    <n v="18.634699999999999"/>
    <n v="0"/>
    <n v="17.336268786300103"/>
    <x v="3"/>
  </r>
  <r>
    <s v="Regular"/>
    <x v="1"/>
    <x v="2"/>
    <x v="2"/>
    <x v="4"/>
    <x v="0"/>
    <x v="0"/>
    <x v="2"/>
    <x v="7"/>
    <n v="0"/>
    <n v="0"/>
    <n v="10.208"/>
    <n v="10.208"/>
    <n v="10.208"/>
    <n v="10.208"/>
    <n v="32"/>
    <s v="CATIVO"/>
    <n v="0"/>
    <n v="0"/>
    <n v="4"/>
    <n v="55"/>
    <n v="0"/>
    <n v="327.33999999999997"/>
    <n v="71.98"/>
    <m/>
    <n v="306.29104162200071"/>
    <n v="65.200432370144256"/>
    <n v="0"/>
    <n v="2717.4716799999997"/>
    <n v="0"/>
    <n v="2528.1233110078774"/>
    <x v="3"/>
  </r>
  <r>
    <s v="Regular"/>
    <x v="1"/>
    <x v="2"/>
    <x v="2"/>
    <x v="4"/>
    <x v="0"/>
    <x v="0"/>
    <x v="2"/>
    <x v="8"/>
    <n v="0"/>
    <n v="0"/>
    <n v="11.129"/>
    <n v="11.129"/>
    <n v="11.129"/>
    <n v="11.129"/>
    <n v="31"/>
    <s v="CATIVO"/>
    <n v="0"/>
    <n v="0"/>
    <n v="4"/>
    <n v="55"/>
    <n v="0"/>
    <n v="327.33999999999997"/>
    <n v="71.98"/>
    <m/>
    <n v="306.29104162200071"/>
    <n v="65.200432370144256"/>
    <n v="0"/>
    <n v="2962.6510899999998"/>
    <n v="0"/>
    <n v="2756.2190760390545"/>
    <x v="3"/>
  </r>
  <r>
    <s v="Regular"/>
    <x v="1"/>
    <x v="2"/>
    <x v="2"/>
    <x v="4"/>
    <x v="0"/>
    <x v="0"/>
    <x v="2"/>
    <x v="9"/>
    <n v="0"/>
    <n v="0"/>
    <n v="11.378"/>
    <n v="11.378"/>
    <n v="11.378"/>
    <n v="11.378"/>
    <n v="27"/>
    <s v="CATIVO"/>
    <n v="0"/>
    <n v="0"/>
    <n v="4"/>
    <n v="55"/>
    <n v="0"/>
    <n v="327.33999999999997"/>
    <n v="71.98"/>
    <m/>
    <n v="306.29104162200071"/>
    <n v="65.200432370144256"/>
    <n v="0"/>
    <n v="3028.9373799999998"/>
    <n v="0"/>
    <n v="2817.8866607217506"/>
    <x v="3"/>
  </r>
  <r>
    <s v="Regular"/>
    <x v="1"/>
    <x v="2"/>
    <x v="2"/>
    <x v="4"/>
    <x v="0"/>
    <x v="0"/>
    <x v="2"/>
    <x v="10"/>
    <n v="0"/>
    <n v="0"/>
    <n v="11.169"/>
    <n v="11.169"/>
    <n v="11.169"/>
    <n v="11.169"/>
    <n v="32"/>
    <s v="CATIVO"/>
    <n v="0"/>
    <n v="0"/>
    <n v="4"/>
    <n v="55"/>
    <n v="0"/>
    <n v="327.33999999999997"/>
    <n v="71.98"/>
    <m/>
    <n v="306.29104162200071"/>
    <n v="65.200432370144256"/>
    <n v="0"/>
    <n v="2973.2994899999999"/>
    <n v="0"/>
    <n v="2766.1255153455118"/>
    <x v="3"/>
  </r>
  <r>
    <s v="PROJETADO"/>
    <x v="1"/>
    <x v="2"/>
    <x v="2"/>
    <x v="4"/>
    <x v="0"/>
    <x v="0"/>
    <x v="2"/>
    <x v="11"/>
    <n v="0"/>
    <n v="0"/>
    <n v="11.169"/>
    <n v="11.169"/>
    <n v="11.169"/>
    <n v="11.169"/>
    <n v="32"/>
    <s v="CATIVO"/>
    <n v="0"/>
    <n v="0"/>
    <n v="4"/>
    <n v="55"/>
    <n v="0"/>
    <n v="327.33999999999997"/>
    <n v="71.98"/>
    <m/>
    <n v="306.29104162200071"/>
    <n v="65.200432370144256"/>
    <n v="0"/>
    <n v="2973.2994899999999"/>
    <n v="0"/>
    <n v="2766.1255153455118"/>
    <x v="3"/>
  </r>
  <r>
    <s v="Regular"/>
    <x v="1"/>
    <x v="2"/>
    <x v="2"/>
    <x v="5"/>
    <x v="0"/>
    <x v="0"/>
    <x v="2"/>
    <x v="0"/>
    <n v="0"/>
    <n v="0"/>
    <n v="6.57"/>
    <n v="6.57"/>
    <n v="6.57"/>
    <n v="6.57"/>
    <n v="64"/>
    <s v="CATIVO"/>
    <n v="0"/>
    <n v="0"/>
    <n v="7"/>
    <n v="63"/>
    <n v="0"/>
    <n v="491.01"/>
    <n v="107.98"/>
    <m/>
    <n v="459.43656243300109"/>
    <n v="97.800648555216384"/>
    <n v="0"/>
    <n v="437.16779999999989"/>
    <n v="0"/>
    <n v="406.78316402139882"/>
    <x v="3"/>
  </r>
  <r>
    <s v="Regular"/>
    <x v="1"/>
    <x v="2"/>
    <x v="2"/>
    <x v="5"/>
    <x v="0"/>
    <x v="0"/>
    <x v="2"/>
    <x v="1"/>
    <n v="0"/>
    <n v="0"/>
    <n v="8.2279999999999998"/>
    <n v="8.2279999999999998"/>
    <n v="8.2279999999999998"/>
    <n v="8.2279999999999998"/>
    <n v="60"/>
    <s v="CATIVO"/>
    <n v="0"/>
    <n v="0"/>
    <n v="7"/>
    <n v="63"/>
    <n v="0"/>
    <n v="491.01"/>
    <n v="107.98"/>
    <m/>
    <n v="459.43656243300109"/>
    <n v="97.800648555216384"/>
    <n v="0"/>
    <n v="547.4911199999998"/>
    <n v="0"/>
    <n v="509.43864133456151"/>
    <x v="3"/>
  </r>
  <r>
    <s v="Regular"/>
    <x v="1"/>
    <x v="2"/>
    <x v="2"/>
    <x v="5"/>
    <x v="0"/>
    <x v="0"/>
    <x v="2"/>
    <x v="4"/>
    <n v="0"/>
    <n v="0"/>
    <n v="7.726"/>
    <n v="7.726"/>
    <n v="7.726"/>
    <n v="7.726"/>
    <n v="67"/>
    <s v="CATIVO"/>
    <n v="0"/>
    <n v="0"/>
    <n v="7"/>
    <n v="63"/>
    <n v="0"/>
    <n v="491.01"/>
    <n v="107.98"/>
    <m/>
    <n v="459.43656243300109"/>
    <n v="97.800648555216384"/>
    <n v="0"/>
    <n v="514.08803999999986"/>
    <n v="0"/>
    <n v="478.35718801055208"/>
    <x v="3"/>
  </r>
  <r>
    <s v="Regular"/>
    <x v="1"/>
    <x v="2"/>
    <x v="2"/>
    <x v="5"/>
    <x v="0"/>
    <x v="0"/>
    <x v="2"/>
    <x v="5"/>
    <n v="0"/>
    <n v="0"/>
    <n v="7.9729999999999999"/>
    <n v="7.9729999999999999"/>
    <n v="7.9729999999999999"/>
    <n v="7.9729999999999999"/>
    <n v="71"/>
    <s v="CATIVO"/>
    <n v="0"/>
    <n v="0"/>
    <n v="7"/>
    <n v="63"/>
    <n v="0"/>
    <n v="491.01"/>
    <n v="107.98"/>
    <m/>
    <n v="459.43656243300109"/>
    <n v="97.800648555216384"/>
    <n v="0"/>
    <n v="530.52341999999976"/>
    <n v="0"/>
    <n v="493.65025368989535"/>
    <x v="3"/>
  </r>
  <r>
    <s v="Regular"/>
    <x v="1"/>
    <x v="2"/>
    <x v="2"/>
    <x v="5"/>
    <x v="0"/>
    <x v="0"/>
    <x v="2"/>
    <x v="6"/>
    <n v="0"/>
    <n v="0"/>
    <n v="9.3420000000000005"/>
    <n v="9.3420000000000005"/>
    <n v="9.3420000000000005"/>
    <n v="9.3420000000000005"/>
    <n v="60"/>
    <s v="CATIVO"/>
    <n v="0"/>
    <n v="0"/>
    <n v="7"/>
    <n v="63"/>
    <n v="0"/>
    <n v="491.01"/>
    <n v="107.98"/>
    <m/>
    <n v="459.43656243300109"/>
    <n v="97.800648555216384"/>
    <n v="0"/>
    <n v="621.61667999999986"/>
    <n v="0"/>
    <n v="578.41222500576987"/>
    <x v="3"/>
  </r>
  <r>
    <s v="Regular"/>
    <x v="1"/>
    <x v="2"/>
    <x v="2"/>
    <x v="5"/>
    <x v="0"/>
    <x v="0"/>
    <x v="2"/>
    <x v="2"/>
    <n v="0"/>
    <n v="0"/>
    <n v="11.077"/>
    <n v="11.077"/>
    <n v="11.077"/>
    <n v="11.077"/>
    <n v="65"/>
    <s v="CATIVO"/>
    <n v="0"/>
    <n v="0"/>
    <n v="7"/>
    <n v="63"/>
    <n v="0"/>
    <n v="491.01"/>
    <n v="107.98"/>
    <m/>
    <n v="459.43656243300109"/>
    <n v="97.800648555216384"/>
    <n v="0"/>
    <n v="737.06357999999977"/>
    <n v="0"/>
    <n v="685.83517623516502"/>
    <x v="3"/>
  </r>
  <r>
    <s v="Regular"/>
    <x v="1"/>
    <x v="2"/>
    <x v="2"/>
    <x v="5"/>
    <x v="0"/>
    <x v="0"/>
    <x v="2"/>
    <x v="3"/>
    <n v="0"/>
    <n v="0"/>
    <n v="9.8089999999999993"/>
    <n v="9.8089999999999993"/>
    <n v="9.8089999999999993"/>
    <n v="9.8089999999999993"/>
    <n v="71"/>
    <s v="CATIVO"/>
    <n v="0"/>
    <n v="0"/>
    <n v="7"/>
    <n v="63"/>
    <n v="0"/>
    <n v="491.01"/>
    <n v="107.98"/>
    <m/>
    <n v="459.43656243300109"/>
    <n v="97.800648555216384"/>
    <n v="0"/>
    <n v="652.6908599999997"/>
    <n v="0"/>
    <n v="607.32664473149168"/>
    <x v="3"/>
  </r>
  <r>
    <s v="Refaturamento - Regular"/>
    <x v="1"/>
    <x v="2"/>
    <x v="2"/>
    <x v="5"/>
    <x v="0"/>
    <x v="0"/>
    <x v="2"/>
    <x v="3"/>
    <n v="0"/>
    <n v="0"/>
    <n v="5.0999999999999997E-2"/>
    <n v="5.0999999999999997E-2"/>
    <n v="5.0999999999999997E-2"/>
    <n v="5.0999999999999997E-2"/>
    <n v="0"/>
    <s v="CATIVO"/>
    <n v="0"/>
    <n v="0"/>
    <n v="7"/>
    <n v="63"/>
    <n v="0"/>
    <n v="491.01"/>
    <n v="107.98"/>
    <m/>
    <n v="459.43656243300109"/>
    <n v="97.800648555216384"/>
    <n v="0"/>
    <n v="3.3935399999999984"/>
    <n v="0"/>
    <n v="3.1576775289332324"/>
    <x v="3"/>
  </r>
  <r>
    <s v="Regular"/>
    <x v="1"/>
    <x v="2"/>
    <x v="2"/>
    <x v="5"/>
    <x v="0"/>
    <x v="0"/>
    <x v="2"/>
    <x v="7"/>
    <n v="0"/>
    <n v="0"/>
    <n v="10.356999999999999"/>
    <n v="10.356999999999999"/>
    <n v="10.356999999999999"/>
    <n v="10.356999999999999"/>
    <n v="79"/>
    <s v="CATIVO"/>
    <n v="0"/>
    <n v="0"/>
    <n v="7"/>
    <n v="63"/>
    <n v="0"/>
    <n v="491.01"/>
    <n v="107.98"/>
    <m/>
    <n v="459.43656243300109"/>
    <n v="97.800648555216384"/>
    <n v="0"/>
    <n v="689.15477999999973"/>
    <n v="0"/>
    <n v="641.25619935610757"/>
    <x v="3"/>
  </r>
  <r>
    <s v="Regular"/>
    <x v="1"/>
    <x v="2"/>
    <x v="2"/>
    <x v="5"/>
    <x v="0"/>
    <x v="0"/>
    <x v="2"/>
    <x v="8"/>
    <n v="0"/>
    <n v="0"/>
    <n v="10.95"/>
    <n v="10.95"/>
    <n v="10.95"/>
    <n v="10.95"/>
    <n v="88"/>
    <s v="CATIVO"/>
    <n v="0"/>
    <n v="0"/>
    <n v="7"/>
    <n v="63"/>
    <n v="0"/>
    <n v="491.01"/>
    <n v="107.98"/>
    <m/>
    <n v="459.43656243300109"/>
    <n v="97.800648555216384"/>
    <n v="0"/>
    <n v="728.61299999999972"/>
    <n v="0"/>
    <n v="677.9719400356646"/>
    <x v="3"/>
  </r>
  <r>
    <s v="Regular"/>
    <x v="1"/>
    <x v="2"/>
    <x v="2"/>
    <x v="5"/>
    <x v="0"/>
    <x v="0"/>
    <x v="2"/>
    <x v="9"/>
    <n v="0"/>
    <n v="0"/>
    <n v="12.487"/>
    <n v="12.487"/>
    <n v="12.487"/>
    <n v="12.487"/>
    <n v="79"/>
    <s v="CATIVO"/>
    <n v="0"/>
    <n v="0"/>
    <n v="7"/>
    <n v="63"/>
    <n v="0"/>
    <n v="491.01"/>
    <n v="107.98"/>
    <m/>
    <n v="459.43656243300109"/>
    <n v="97.800648555216384"/>
    <n v="0"/>
    <n v="830.8849799999997"/>
    <n v="0"/>
    <n v="773.13567262331912"/>
    <x v="3"/>
  </r>
  <r>
    <s v="Regular"/>
    <x v="1"/>
    <x v="2"/>
    <x v="2"/>
    <x v="5"/>
    <x v="0"/>
    <x v="0"/>
    <x v="2"/>
    <x v="10"/>
    <n v="0"/>
    <n v="0"/>
    <n v="10.829000000000001"/>
    <n v="10.829000000000001"/>
    <n v="10.829000000000001"/>
    <n v="10.829000000000001"/>
    <n v="93"/>
    <s v="CATIVO"/>
    <n v="0"/>
    <n v="0"/>
    <n v="7"/>
    <n v="63"/>
    <n v="0"/>
    <n v="491.01"/>
    <n v="107.98"/>
    <m/>
    <n v="459.43656243300109"/>
    <n v="97.800648555216384"/>
    <n v="0"/>
    <n v="720.56165999999985"/>
    <n v="0"/>
    <n v="670.48019531015643"/>
    <x v="3"/>
  </r>
  <r>
    <s v="PROJETADO"/>
    <x v="1"/>
    <x v="2"/>
    <x v="2"/>
    <x v="5"/>
    <x v="0"/>
    <x v="0"/>
    <x v="2"/>
    <x v="11"/>
    <n v="0"/>
    <n v="0"/>
    <n v="10.829000000000001"/>
    <n v="10.829000000000001"/>
    <n v="10.829000000000001"/>
    <n v="10.829000000000001"/>
    <n v="93"/>
    <s v="CATIVO"/>
    <n v="0"/>
    <n v="0"/>
    <n v="7"/>
    <n v="63"/>
    <n v="0"/>
    <n v="491.01"/>
    <n v="107.98"/>
    <m/>
    <n v="459.43656243300109"/>
    <n v="97.800648555216384"/>
    <n v="0"/>
    <n v="720.56165999999985"/>
    <n v="0"/>
    <n v="670.48019531015643"/>
    <x v="3"/>
  </r>
  <r>
    <s v="Regular"/>
    <x v="1"/>
    <x v="2"/>
    <x v="2"/>
    <x v="6"/>
    <x v="0"/>
    <x v="0"/>
    <x v="2"/>
    <x v="0"/>
    <n v="0"/>
    <n v="0"/>
    <n v="1.62"/>
    <n v="1.62"/>
    <n v="1.62"/>
    <n v="1.62"/>
    <n v="26"/>
    <s v="CATIVO"/>
    <n v="0"/>
    <n v="0"/>
    <n v="35"/>
    <n v="79"/>
    <n v="0"/>
    <n v="545.55999999999995"/>
    <n v="119.97"/>
    <m/>
    <n v="510.48506937000121"/>
    <n v="108.66738728357376"/>
    <n v="0"/>
    <n v="4.6043169277254495E-14"/>
    <n v="0"/>
    <n v="0"/>
    <x v="3"/>
  </r>
  <r>
    <s v="Regular"/>
    <x v="1"/>
    <x v="2"/>
    <x v="2"/>
    <x v="6"/>
    <x v="0"/>
    <x v="0"/>
    <x v="2"/>
    <x v="1"/>
    <n v="0"/>
    <n v="0"/>
    <n v="2.931"/>
    <n v="2.931"/>
    <n v="2.931"/>
    <n v="2.931"/>
    <n v="38"/>
    <s v="CATIVO"/>
    <n v="0"/>
    <n v="0"/>
    <n v="35"/>
    <n v="79"/>
    <n v="0"/>
    <n v="545.55999999999995"/>
    <n v="119.97"/>
    <m/>
    <n v="510.48506937000121"/>
    <n v="108.66738728357376"/>
    <n v="0"/>
    <n v="8.3304030340514147E-14"/>
    <n v="0"/>
    <n v="0"/>
    <x v="3"/>
  </r>
  <r>
    <s v="Regular"/>
    <x v="1"/>
    <x v="2"/>
    <x v="2"/>
    <x v="6"/>
    <x v="0"/>
    <x v="0"/>
    <x v="2"/>
    <x v="4"/>
    <n v="0"/>
    <n v="0"/>
    <n v="2.2109999999999999"/>
    <n v="2.2109999999999999"/>
    <n v="2.2109999999999999"/>
    <n v="2.2109999999999999"/>
    <n v="31"/>
    <s v="CATIVO"/>
    <n v="0"/>
    <n v="0"/>
    <n v="35"/>
    <n v="79"/>
    <n v="0"/>
    <n v="545.55999999999995"/>
    <n v="119.97"/>
    <m/>
    <n v="510.48506937000121"/>
    <n v="108.66738728357376"/>
    <n v="0"/>
    <n v="6.2840399550623256E-14"/>
    <n v="0"/>
    <n v="0"/>
    <x v="3"/>
  </r>
  <r>
    <s v="Regular"/>
    <x v="1"/>
    <x v="2"/>
    <x v="2"/>
    <x v="6"/>
    <x v="0"/>
    <x v="0"/>
    <x v="2"/>
    <x v="5"/>
    <n v="0"/>
    <n v="0"/>
    <n v="2.2970000000000002"/>
    <n v="2.2970000000000002"/>
    <n v="2.2970000000000002"/>
    <n v="2.2970000000000002"/>
    <n v="34"/>
    <s v="CATIVO"/>
    <n v="0"/>
    <n v="0"/>
    <n v="35"/>
    <n v="79"/>
    <n v="0"/>
    <n v="545.55999999999995"/>
    <n v="119.97"/>
    <m/>
    <n v="510.48506937000121"/>
    <n v="108.66738728357376"/>
    <n v="0"/>
    <n v="6.5284666561638009E-14"/>
    <n v="0"/>
    <n v="0"/>
    <x v="3"/>
  </r>
  <r>
    <s v="Regular"/>
    <x v="1"/>
    <x v="2"/>
    <x v="2"/>
    <x v="6"/>
    <x v="0"/>
    <x v="0"/>
    <x v="2"/>
    <x v="6"/>
    <n v="0"/>
    <n v="0"/>
    <n v="4.3019999999999996"/>
    <n v="4.3019999999999996"/>
    <n v="4.3019999999999996"/>
    <n v="4.3019999999999996"/>
    <n v="48"/>
    <s v="CATIVO"/>
    <n v="0"/>
    <n v="0"/>
    <n v="35"/>
    <n v="79"/>
    <n v="0"/>
    <n v="545.55999999999995"/>
    <n v="119.97"/>
    <m/>
    <n v="510.48506937000121"/>
    <n v="108.66738728357376"/>
    <n v="0"/>
    <n v="1.2227019396959803E-13"/>
    <n v="0"/>
    <n v="0"/>
    <x v="3"/>
  </r>
  <r>
    <s v="Regular"/>
    <x v="1"/>
    <x v="2"/>
    <x v="2"/>
    <x v="6"/>
    <x v="0"/>
    <x v="0"/>
    <x v="2"/>
    <x v="2"/>
    <n v="0"/>
    <n v="0"/>
    <n v="7.4379999999999997"/>
    <n v="7.4379999999999997"/>
    <n v="7.4379999999999997"/>
    <n v="7.4379999999999997"/>
    <n v="58"/>
    <s v="CATIVO"/>
    <n v="0"/>
    <n v="0"/>
    <n v="35"/>
    <n v="79"/>
    <n v="0"/>
    <n v="545.55999999999995"/>
    <n v="119.97"/>
    <m/>
    <n v="510.48506937000121"/>
    <n v="108.66738728357376"/>
    <n v="0"/>
    <n v="2.11400674743345E-13"/>
    <n v="0"/>
    <n v="0"/>
    <x v="3"/>
  </r>
  <r>
    <s v="Regular"/>
    <x v="1"/>
    <x v="2"/>
    <x v="2"/>
    <x v="6"/>
    <x v="0"/>
    <x v="0"/>
    <x v="2"/>
    <x v="3"/>
    <n v="0"/>
    <n v="0"/>
    <n v="5.5119999999999996"/>
    <n v="5.5119999999999996"/>
    <n v="5.5119999999999996"/>
    <n v="5.5119999999999996"/>
    <n v="51"/>
    <s v="CATIVO"/>
    <n v="0"/>
    <n v="0"/>
    <n v="35"/>
    <n v="79"/>
    <n v="0"/>
    <n v="545.55999999999995"/>
    <n v="119.97"/>
    <m/>
    <n v="510.48506937000121"/>
    <n v="108.66738728357376"/>
    <n v="0"/>
    <n v="1.5666046238038688E-13"/>
    <n v="0"/>
    <n v="0"/>
    <x v="3"/>
  </r>
  <r>
    <s v="Regular"/>
    <x v="1"/>
    <x v="2"/>
    <x v="2"/>
    <x v="6"/>
    <x v="0"/>
    <x v="0"/>
    <x v="2"/>
    <x v="7"/>
    <n v="0"/>
    <n v="0"/>
    <n v="3.56"/>
    <n v="3.56"/>
    <n v="3.56"/>
    <n v="3.56"/>
    <n v="49"/>
    <s v="CATIVO"/>
    <n v="0"/>
    <n v="0"/>
    <n v="35"/>
    <n v="79"/>
    <n v="0"/>
    <n v="545.55999999999995"/>
    <n v="119.97"/>
    <m/>
    <n v="510.48506937000121"/>
    <n v="108.66738728357376"/>
    <n v="0"/>
    <n v="1.0118128557223827E-13"/>
    <n v="0"/>
    <n v="0"/>
    <x v="3"/>
  </r>
  <r>
    <s v="Regular"/>
    <x v="1"/>
    <x v="2"/>
    <x v="2"/>
    <x v="6"/>
    <x v="0"/>
    <x v="0"/>
    <x v="2"/>
    <x v="8"/>
    <n v="0"/>
    <n v="0"/>
    <n v="2.9620000000000002"/>
    <n v="2.9620000000000002"/>
    <n v="2.9620000000000002"/>
    <n v="2.9620000000000002"/>
    <n v="51"/>
    <s v="CATIVO"/>
    <n v="0"/>
    <n v="0"/>
    <n v="35"/>
    <n v="79"/>
    <n v="0"/>
    <n v="545.55999999999995"/>
    <n v="119.97"/>
    <m/>
    <n v="510.48506937000121"/>
    <n v="108.66738728357376"/>
    <n v="0"/>
    <n v="8.4185103332856675E-14"/>
    <n v="0"/>
    <n v="0"/>
    <x v="3"/>
  </r>
  <r>
    <s v="Regular"/>
    <x v="1"/>
    <x v="2"/>
    <x v="2"/>
    <x v="6"/>
    <x v="0"/>
    <x v="0"/>
    <x v="2"/>
    <x v="9"/>
    <n v="0"/>
    <n v="0"/>
    <n v="6.2949999999999999"/>
    <n v="6.2949999999999999"/>
    <n v="6.2949999999999999"/>
    <n v="6.2949999999999999"/>
    <n v="65"/>
    <s v="CATIVO"/>
    <n v="0"/>
    <n v="0"/>
    <n v="35"/>
    <n v="79"/>
    <n v="0"/>
    <n v="545.55999999999995"/>
    <n v="119.97"/>
    <m/>
    <n v="510.48506937000121"/>
    <n v="108.66738728357376"/>
    <n v="0"/>
    <n v="1.7891466086439322E-13"/>
    <n v="0"/>
    <n v="0"/>
    <x v="3"/>
  </r>
  <r>
    <s v="Regular"/>
    <x v="1"/>
    <x v="2"/>
    <x v="2"/>
    <x v="6"/>
    <x v="0"/>
    <x v="0"/>
    <x v="2"/>
    <x v="10"/>
    <n v="0"/>
    <n v="0"/>
    <n v="3.0920000000000001"/>
    <n v="3.0920000000000001"/>
    <n v="3.0920000000000001"/>
    <n v="3.0920000000000001"/>
    <n v="47"/>
    <s v="CATIVO"/>
    <n v="0"/>
    <n v="0"/>
    <n v="35"/>
    <n v="79"/>
    <n v="0"/>
    <n v="545.55999999999995"/>
    <n v="119.97"/>
    <m/>
    <n v="510.48506937000121"/>
    <n v="108.66738728357376"/>
    <n v="0"/>
    <n v="8.7879925558809193E-14"/>
    <n v="0"/>
    <n v="0"/>
    <x v="3"/>
  </r>
  <r>
    <s v="PROJETADO"/>
    <x v="1"/>
    <x v="2"/>
    <x v="2"/>
    <x v="6"/>
    <x v="0"/>
    <x v="0"/>
    <x v="2"/>
    <x v="11"/>
    <n v="0"/>
    <n v="0"/>
    <n v="3.0920000000000001"/>
    <n v="3.0920000000000001"/>
    <n v="3.0920000000000001"/>
    <n v="3.0920000000000001"/>
    <n v="47"/>
    <s v="CATIVO"/>
    <n v="0"/>
    <n v="0"/>
    <n v="35"/>
    <n v="79"/>
    <n v="0"/>
    <n v="545.55999999999995"/>
    <n v="119.97"/>
    <m/>
    <n v="510.48506937000121"/>
    <n v="108.66738728357376"/>
    <n v="0"/>
    <n v="8.7879925558809193E-14"/>
    <n v="0"/>
    <n v="0"/>
    <x v="3"/>
  </r>
  <r>
    <s v="Regular"/>
    <x v="2"/>
    <x v="2"/>
    <x v="1"/>
    <x v="1"/>
    <x v="0"/>
    <x v="0"/>
    <x v="2"/>
    <x v="0"/>
    <n v="0"/>
    <n v="0"/>
    <n v="236.78899999999999"/>
    <n v="236.78899999999999"/>
    <n v="236.78899999999999"/>
    <n v="236.78899999999999"/>
    <n v="716"/>
    <s v="CATIVO"/>
    <n v="0"/>
    <n v="0"/>
    <n v="49"/>
    <n v="59"/>
    <n v="0"/>
    <n v="535.97"/>
    <n v="105.58"/>
    <m/>
    <n v="577.4169539089072"/>
    <n v="102.14734404655933"/>
    <n v="0"/>
    <n v="20714.301719999985"/>
    <n v="0"/>
    <n v="10271.064928632577"/>
    <x v="1"/>
  </r>
  <r>
    <s v="Sistema de Compensação"/>
    <x v="2"/>
    <x v="2"/>
    <x v="1"/>
    <x v="1"/>
    <x v="0"/>
    <x v="0"/>
    <x v="2"/>
    <x v="0"/>
    <n v="0"/>
    <n v="0"/>
    <n v="19.481999999999999"/>
    <n v="19.481999999999999"/>
    <n v="19.481999999999999"/>
    <n v="19.481999999999999"/>
    <n v="10"/>
    <s v="CATIVO"/>
    <n v="0"/>
    <n v="0"/>
    <n v="49"/>
    <n v="59"/>
    <n v="0"/>
    <n v="535.97"/>
    <n v="105.58"/>
    <m/>
    <n v="577.4169539089072"/>
    <n v="102.14734404655933"/>
    <n v="0"/>
    <n v="1704.2853599999989"/>
    <n v="0"/>
    <n v="845.05989272989825"/>
    <x v="1"/>
  </r>
  <r>
    <s v="Regular"/>
    <x v="2"/>
    <x v="2"/>
    <x v="1"/>
    <x v="1"/>
    <x v="0"/>
    <x v="0"/>
    <x v="2"/>
    <x v="1"/>
    <n v="0"/>
    <n v="0"/>
    <n v="293.82499999999999"/>
    <n v="293.82499999999999"/>
    <n v="293.82499999999999"/>
    <n v="293.82499999999999"/>
    <n v="711"/>
    <s v="CATIVO"/>
    <n v="0"/>
    <n v="0"/>
    <n v="49"/>
    <n v="59"/>
    <n v="0"/>
    <n v="535.97"/>
    <n v="105.58"/>
    <m/>
    <n v="577.4169539089072"/>
    <n v="102.14734404655933"/>
    <n v="0"/>
    <n v="25703.810999999983"/>
    <n v="0"/>
    <n v="12745.083820006279"/>
    <x v="1"/>
  </r>
  <r>
    <s v="Refaturamento - Regular"/>
    <x v="2"/>
    <x v="2"/>
    <x v="1"/>
    <x v="1"/>
    <x v="0"/>
    <x v="0"/>
    <x v="2"/>
    <x v="1"/>
    <n v="0"/>
    <n v="0"/>
    <n v="-19.876000000000001"/>
    <n v="-19.876000000000001"/>
    <n v="-19.876000000000001"/>
    <n v="-19.876000000000001"/>
    <n v="0"/>
    <s v="CATIVO"/>
    <n v="0"/>
    <n v="0"/>
    <n v="49"/>
    <n v="59"/>
    <n v="0"/>
    <n v="535.97"/>
    <n v="105.58"/>
    <m/>
    <n v="577.4169539089072"/>
    <n v="102.14734404655933"/>
    <n v="0"/>
    <n v="-1738.752479999999"/>
    <n v="0"/>
    <n v="-862.15021188273579"/>
    <x v="1"/>
  </r>
  <r>
    <s v="Sistema de Compensação"/>
    <x v="2"/>
    <x v="2"/>
    <x v="1"/>
    <x v="1"/>
    <x v="0"/>
    <x v="0"/>
    <x v="2"/>
    <x v="1"/>
    <n v="0"/>
    <n v="0"/>
    <n v="16.452999999999999"/>
    <n v="16.452999999999999"/>
    <n v="16.452999999999999"/>
    <n v="16.452999999999999"/>
    <n v="12"/>
    <s v="CATIVO"/>
    <n v="0"/>
    <n v="0"/>
    <n v="49"/>
    <n v="59"/>
    <n v="0"/>
    <n v="535.97"/>
    <n v="105.58"/>
    <m/>
    <n v="577.4169539089072"/>
    <n v="102.14734404655933"/>
    <n v="0"/>
    <n v="1439.3084399999991"/>
    <n v="0"/>
    <n v="713.67264218689127"/>
    <x v="1"/>
  </r>
  <r>
    <s v="Regular"/>
    <x v="2"/>
    <x v="2"/>
    <x v="1"/>
    <x v="1"/>
    <x v="0"/>
    <x v="0"/>
    <x v="2"/>
    <x v="4"/>
    <n v="0"/>
    <n v="0"/>
    <n v="265.36500000000001"/>
    <n v="265.36500000000001"/>
    <n v="265.36500000000001"/>
    <n v="265.36500000000001"/>
    <n v="712"/>
    <s v="CATIVO"/>
    <n v="0"/>
    <n v="0"/>
    <n v="49"/>
    <n v="59"/>
    <n v="0"/>
    <n v="535.97"/>
    <n v="105.58"/>
    <m/>
    <n v="577.4169539089072"/>
    <n v="102.14734404655933"/>
    <n v="0"/>
    <n v="23214.130199999985"/>
    <n v="0"/>
    <n v="11510.590208103349"/>
    <x v="1"/>
  </r>
  <r>
    <s v="Regular"/>
    <x v="2"/>
    <x v="2"/>
    <x v="1"/>
    <x v="1"/>
    <x v="0"/>
    <x v="0"/>
    <x v="2"/>
    <x v="5"/>
    <n v="0"/>
    <n v="0"/>
    <n v="251.61"/>
    <n v="251.61"/>
    <n v="251.61"/>
    <n v="251.61"/>
    <n v="711"/>
    <s v="CATIVO"/>
    <n v="0"/>
    <n v="0"/>
    <n v="49"/>
    <n v="59"/>
    <n v="0"/>
    <n v="535.97"/>
    <n v="105.58"/>
    <m/>
    <n v="577.4169539089072"/>
    <n v="102.14734404655933"/>
    <n v="0"/>
    <n v="22010.842799999988"/>
    <n v="0"/>
    <n v="10913.9472133133"/>
    <x v="1"/>
  </r>
  <r>
    <s v="Sistema de Compensação"/>
    <x v="2"/>
    <x v="2"/>
    <x v="1"/>
    <x v="1"/>
    <x v="0"/>
    <x v="0"/>
    <x v="2"/>
    <x v="5"/>
    <n v="0"/>
    <n v="0"/>
    <n v="10.541"/>
    <n v="10.541"/>
    <n v="10.541"/>
    <n v="10.541"/>
    <n v="12"/>
    <s v="CATIVO"/>
    <n v="0"/>
    <n v="0"/>
    <n v="49"/>
    <n v="59"/>
    <n v="0"/>
    <n v="535.97"/>
    <n v="105.58"/>
    <m/>
    <n v="577.4169539089072"/>
    <n v="102.14734404655933"/>
    <n v="0"/>
    <n v="922.12667999999951"/>
    <n v="0"/>
    <n v="457.23110200522831"/>
    <x v="1"/>
  </r>
  <r>
    <s v="Regular"/>
    <x v="2"/>
    <x v="2"/>
    <x v="1"/>
    <x v="1"/>
    <x v="0"/>
    <x v="0"/>
    <x v="2"/>
    <x v="6"/>
    <n v="0"/>
    <n v="0"/>
    <n v="293.61200000000002"/>
    <n v="293.61200000000002"/>
    <n v="293.61200000000002"/>
    <n v="293.61200000000002"/>
    <n v="708"/>
    <s v="CATIVO"/>
    <n v="0"/>
    <n v="0"/>
    <n v="49"/>
    <n v="59"/>
    <n v="0"/>
    <n v="535.97"/>
    <n v="105.58"/>
    <m/>
    <n v="577.4169539089072"/>
    <n v="102.14734404655933"/>
    <n v="0"/>
    <n v="25685.177759999988"/>
    <n v="0"/>
    <n v="12735.844637317057"/>
    <x v="1"/>
  </r>
  <r>
    <s v="Sistema de Compensação"/>
    <x v="2"/>
    <x v="2"/>
    <x v="1"/>
    <x v="1"/>
    <x v="0"/>
    <x v="0"/>
    <x v="2"/>
    <x v="6"/>
    <n v="0"/>
    <n v="0"/>
    <n v="22.734999999999999"/>
    <n v="22.734999999999999"/>
    <n v="22.734999999999999"/>
    <n v="22.734999999999999"/>
    <n v="13"/>
    <s v="CATIVO"/>
    <n v="0"/>
    <n v="0"/>
    <n v="49"/>
    <n v="59"/>
    <n v="0"/>
    <n v="535.97"/>
    <n v="105.58"/>
    <m/>
    <n v="577.4169539089072"/>
    <n v="102.14734404655933"/>
    <n v="0"/>
    <n v="1988.8577999999989"/>
    <n v="0"/>
    <n v="986.16346685218332"/>
    <x v="1"/>
  </r>
  <r>
    <s v="Regular"/>
    <x v="2"/>
    <x v="2"/>
    <x v="1"/>
    <x v="1"/>
    <x v="0"/>
    <x v="0"/>
    <x v="2"/>
    <x v="2"/>
    <n v="0"/>
    <n v="0"/>
    <n v="325.15499999999997"/>
    <n v="325.15499999999997"/>
    <n v="325.15499999999997"/>
    <n v="325.15499999999997"/>
    <n v="707"/>
    <s v="CATIVO"/>
    <n v="0"/>
    <n v="0"/>
    <n v="49"/>
    <n v="59"/>
    <n v="0"/>
    <n v="535.97"/>
    <n v="105.58"/>
    <m/>
    <n v="577.4169539089072"/>
    <n v="102.14734404655933"/>
    <n v="0"/>
    <n v="28444.55939999998"/>
    <n v="0"/>
    <n v="14104.067827768711"/>
    <x v="1"/>
  </r>
  <r>
    <s v="Refaturamento - Regular"/>
    <x v="2"/>
    <x v="2"/>
    <x v="1"/>
    <x v="1"/>
    <x v="0"/>
    <x v="0"/>
    <x v="2"/>
    <x v="2"/>
    <n v="0"/>
    <n v="0"/>
    <n v="-0.47399999999999998"/>
    <n v="-0.47399999999999998"/>
    <n v="-0.47399999999999998"/>
    <n v="-0.47399999999999998"/>
    <n v="0"/>
    <s v="CATIVO"/>
    <n v="0"/>
    <n v="0"/>
    <n v="49"/>
    <n v="59"/>
    <n v="0"/>
    <n v="535.97"/>
    <n v="105.58"/>
    <m/>
    <n v="577.4169539089072"/>
    <n v="102.14734404655933"/>
    <n v="0"/>
    <n v="-41.46551999999997"/>
    <n v="0"/>
    <n v="-20.560434716865402"/>
    <x v="1"/>
  </r>
  <r>
    <s v="Sistema de Compensação"/>
    <x v="2"/>
    <x v="2"/>
    <x v="1"/>
    <x v="1"/>
    <x v="0"/>
    <x v="0"/>
    <x v="2"/>
    <x v="2"/>
    <n v="0"/>
    <n v="0"/>
    <n v="18.158999999999999"/>
    <n v="18.158999999999999"/>
    <n v="18.158999999999999"/>
    <n v="18.158999999999999"/>
    <n v="13"/>
    <s v="CATIVO"/>
    <n v="0"/>
    <n v="0"/>
    <n v="49"/>
    <n v="59"/>
    <n v="0"/>
    <n v="535.97"/>
    <n v="105.58"/>
    <m/>
    <n v="577.4169539089072"/>
    <n v="102.14734404655933"/>
    <n v="0"/>
    <n v="1588.5493199999989"/>
    <n v="0"/>
    <n v="787.67285658978653"/>
    <x v="1"/>
  </r>
  <r>
    <s v="Regular"/>
    <x v="2"/>
    <x v="2"/>
    <x v="1"/>
    <x v="1"/>
    <x v="0"/>
    <x v="0"/>
    <x v="2"/>
    <x v="3"/>
    <n v="0"/>
    <n v="0"/>
    <n v="280.87599999999998"/>
    <n v="280.87599999999998"/>
    <n v="280.87599999999998"/>
    <n v="280.87599999999998"/>
    <n v="704"/>
    <s v="CATIVO"/>
    <n v="0"/>
    <n v="0"/>
    <n v="49"/>
    <n v="59"/>
    <n v="0"/>
    <n v="535.97"/>
    <n v="105.58"/>
    <m/>
    <n v="577.4169539089072"/>
    <n v="102.14734404655933"/>
    <n v="0"/>
    <n v="24571.032479999983"/>
    <n v="0"/>
    <n v="12183.40223952381"/>
    <x v="1"/>
  </r>
  <r>
    <s v="Refaturamento - Regular"/>
    <x v="2"/>
    <x v="2"/>
    <x v="1"/>
    <x v="1"/>
    <x v="0"/>
    <x v="0"/>
    <x v="2"/>
    <x v="3"/>
    <n v="0"/>
    <n v="0"/>
    <n v="-2.2639999999999998"/>
    <n v="-2.2639999999999998"/>
    <n v="-2.2639999999999998"/>
    <n v="-2.2639999999999998"/>
    <n v="0"/>
    <s v="CATIVO"/>
    <n v="0"/>
    <n v="0"/>
    <n v="49"/>
    <n v="59"/>
    <n v="0"/>
    <n v="535.97"/>
    <n v="105.58"/>
    <m/>
    <n v="577.4169539089072"/>
    <n v="102.14734404655933"/>
    <n v="0"/>
    <n v="-198.05471999999986"/>
    <n v="0"/>
    <n v="-98.204270461990006"/>
    <x v="1"/>
  </r>
  <r>
    <s v="Sistema de Compensação"/>
    <x v="2"/>
    <x v="2"/>
    <x v="1"/>
    <x v="1"/>
    <x v="0"/>
    <x v="0"/>
    <x v="2"/>
    <x v="3"/>
    <n v="0"/>
    <n v="0"/>
    <n v="28.015000000000001"/>
    <n v="28.015000000000001"/>
    <n v="28.015000000000001"/>
    <n v="28.015000000000001"/>
    <n v="13"/>
    <s v="CATIVO"/>
    <n v="0"/>
    <n v="0"/>
    <n v="49"/>
    <n v="59"/>
    <n v="0"/>
    <n v="535.97"/>
    <n v="105.58"/>
    <m/>
    <n v="577.4169539089072"/>
    <n v="102.14734404655933"/>
    <n v="0"/>
    <n v="2450.7521999999985"/>
    <n v="0"/>
    <n v="1215.1910940780258"/>
    <x v="1"/>
  </r>
  <r>
    <s v="Regular"/>
    <x v="2"/>
    <x v="2"/>
    <x v="1"/>
    <x v="1"/>
    <x v="0"/>
    <x v="0"/>
    <x v="2"/>
    <x v="7"/>
    <n v="0"/>
    <n v="0"/>
    <n v="243.8"/>
    <n v="243.8"/>
    <n v="243.8"/>
    <n v="243.8"/>
    <n v="705"/>
    <s v="CATIVO"/>
    <n v="0"/>
    <n v="0"/>
    <n v="49"/>
    <n v="59"/>
    <n v="0"/>
    <n v="535.97"/>
    <n v="105.58"/>
    <m/>
    <n v="577.4169539089072"/>
    <n v="102.14734404655933"/>
    <n v="0"/>
    <n v="21327.623999999989"/>
    <n v="0"/>
    <n v="10575.177181375075"/>
    <x v="1"/>
  </r>
  <r>
    <s v="Sistema de Compensação"/>
    <x v="2"/>
    <x v="2"/>
    <x v="1"/>
    <x v="1"/>
    <x v="0"/>
    <x v="0"/>
    <x v="2"/>
    <x v="7"/>
    <n v="0"/>
    <n v="0"/>
    <n v="17.763999999999999"/>
    <n v="17.763999999999999"/>
    <n v="17.763999999999999"/>
    <n v="17.763999999999999"/>
    <n v="13"/>
    <s v="CATIVO"/>
    <n v="0"/>
    <n v="0"/>
    <n v="49"/>
    <n v="59"/>
    <n v="0"/>
    <n v="535.97"/>
    <n v="105.58"/>
    <m/>
    <n v="577.4169539089072"/>
    <n v="102.14734404655933"/>
    <n v="0"/>
    <n v="1553.994719999999"/>
    <n v="0"/>
    <n v="770.53916099239871"/>
    <x v="1"/>
  </r>
  <r>
    <s v="Sistema de Compensação"/>
    <x v="2"/>
    <x v="2"/>
    <x v="1"/>
    <x v="1"/>
    <x v="0"/>
    <x v="0"/>
    <x v="2"/>
    <x v="7"/>
    <n v="0"/>
    <n v="0"/>
    <n v="-1.169"/>
    <n v="-1.169"/>
    <n v="-1.169"/>
    <n v="-1.169"/>
    <n v="2"/>
    <s v="CATIVO"/>
    <n v="0"/>
    <n v="0"/>
    <n v="49"/>
    <n v="59"/>
    <n v="0"/>
    <n v="535.97"/>
    <n v="105.58"/>
    <m/>
    <n v="577.4169539089072"/>
    <n v="102.14734404655933"/>
    <n v="0"/>
    <n v="-102.26411999999995"/>
    <n v="0"/>
    <n v="-50.707063679357923"/>
    <x v="1"/>
  </r>
  <r>
    <s v="Regular"/>
    <x v="2"/>
    <x v="2"/>
    <x v="1"/>
    <x v="1"/>
    <x v="0"/>
    <x v="0"/>
    <x v="2"/>
    <x v="8"/>
    <n v="0"/>
    <n v="0"/>
    <n v="220.846"/>
    <n v="220.846"/>
    <n v="220.846"/>
    <n v="220.846"/>
    <n v="700"/>
    <s v="CATIVO"/>
    <n v="0"/>
    <n v="0"/>
    <n v="49"/>
    <n v="59"/>
    <n v="0"/>
    <n v="535.97"/>
    <n v="105.58"/>
    <m/>
    <n v="577.4169539089072"/>
    <n v="102.14734404655933"/>
    <n v="0"/>
    <n v="19319.608079999987"/>
    <n v="0"/>
    <n v="9579.5142731663636"/>
    <x v="1"/>
  </r>
  <r>
    <s v="Sistema de Compensação"/>
    <x v="2"/>
    <x v="2"/>
    <x v="1"/>
    <x v="1"/>
    <x v="0"/>
    <x v="0"/>
    <x v="2"/>
    <x v="8"/>
    <n v="0"/>
    <n v="0"/>
    <n v="18.504999999999999"/>
    <n v="18.504999999999999"/>
    <n v="18.504999999999999"/>
    <n v="18.504999999999999"/>
    <n v="17"/>
    <s v="CATIVO"/>
    <n v="0"/>
    <n v="0"/>
    <n v="49"/>
    <n v="59"/>
    <n v="0"/>
    <n v="535.97"/>
    <n v="105.58"/>
    <m/>
    <n v="577.4169539089072"/>
    <n v="102.14734404655933"/>
    <n v="0"/>
    <n v="1618.817399999999"/>
    <n v="0"/>
    <n v="802.6811064042073"/>
    <x v="1"/>
  </r>
  <r>
    <s v="Sistema de Compensação"/>
    <x v="2"/>
    <x v="2"/>
    <x v="1"/>
    <x v="1"/>
    <x v="0"/>
    <x v="0"/>
    <x v="2"/>
    <x v="8"/>
    <n v="0"/>
    <n v="0"/>
    <n v="-5.4939999999999998"/>
    <n v="-5.4939999999999998"/>
    <n v="-5.4939999999999998"/>
    <n v="-5.4939999999999998"/>
    <n v="2"/>
    <s v="CATIVO"/>
    <n v="0"/>
    <n v="0"/>
    <n v="49"/>
    <n v="59"/>
    <n v="0"/>
    <n v="535.97"/>
    <n v="105.58"/>
    <m/>
    <n v="577.4169539089072"/>
    <n v="102.14734404655933"/>
    <n v="0"/>
    <n v="-480.61511999999971"/>
    <n v="0"/>
    <n v="-238.31018635961712"/>
    <x v="1"/>
  </r>
  <r>
    <s v="Regular"/>
    <x v="2"/>
    <x v="2"/>
    <x v="1"/>
    <x v="1"/>
    <x v="0"/>
    <x v="0"/>
    <x v="2"/>
    <x v="9"/>
    <n v="0"/>
    <n v="0"/>
    <n v="269.67599999999999"/>
    <n v="269.67599999999999"/>
    <n v="269.67599999999999"/>
    <n v="269.67599999999999"/>
    <n v="701"/>
    <s v="CATIVO"/>
    <n v="0"/>
    <n v="0"/>
    <n v="49"/>
    <n v="59"/>
    <n v="0"/>
    <n v="535.97"/>
    <n v="105.58"/>
    <m/>
    <n v="577.4169539089072"/>
    <n v="102.14734404655933"/>
    <n v="0"/>
    <n v="23591.256479999985"/>
    <n v="0"/>
    <n v="11697.586060559903"/>
    <x v="1"/>
  </r>
  <r>
    <s v="Sistema de Compensação"/>
    <x v="2"/>
    <x v="2"/>
    <x v="1"/>
    <x v="1"/>
    <x v="0"/>
    <x v="0"/>
    <x v="2"/>
    <x v="9"/>
    <n v="0"/>
    <n v="0"/>
    <n v="-3.0350000000000001"/>
    <n v="-3.0350000000000001"/>
    <n v="-3.0350000000000001"/>
    <n v="-3.0350000000000001"/>
    <n v="2"/>
    <s v="CATIVO"/>
    <n v="0"/>
    <n v="0"/>
    <n v="49"/>
    <n v="59"/>
    <n v="0"/>
    <n v="535.97"/>
    <n v="105.58"/>
    <m/>
    <n v="577.4169539089072"/>
    <n v="102.14734404655933"/>
    <n v="0"/>
    <n v="-265.50179999999983"/>
    <n v="0"/>
    <n v="-131.64750921030907"/>
    <x v="1"/>
  </r>
  <r>
    <s v="Sistema de Compensação"/>
    <x v="2"/>
    <x v="2"/>
    <x v="1"/>
    <x v="1"/>
    <x v="0"/>
    <x v="0"/>
    <x v="2"/>
    <x v="9"/>
    <n v="0"/>
    <n v="0"/>
    <n v="30.792999999999999"/>
    <n v="30.792999999999999"/>
    <n v="30.792999999999999"/>
    <n v="30.792999999999999"/>
    <n v="16"/>
    <s v="CATIVO"/>
    <n v="0"/>
    <n v="0"/>
    <n v="49"/>
    <n v="59"/>
    <n v="0"/>
    <n v="535.97"/>
    <n v="105.58"/>
    <m/>
    <n v="577.4169539089072"/>
    <n v="102.14734404655933"/>
    <n v="0"/>
    <n v="2693.7716399999981"/>
    <n v="0"/>
    <n v="1335.6908570388953"/>
    <x v="1"/>
  </r>
  <r>
    <s v="Regular"/>
    <x v="2"/>
    <x v="2"/>
    <x v="1"/>
    <x v="1"/>
    <x v="0"/>
    <x v="0"/>
    <x v="2"/>
    <x v="10"/>
    <n v="0"/>
    <n v="0"/>
    <n v="241.06"/>
    <n v="241.06"/>
    <n v="241.06"/>
    <n v="241.06"/>
    <n v="698"/>
    <s v="CATIVO"/>
    <n v="0"/>
    <n v="0"/>
    <n v="49"/>
    <n v="59"/>
    <n v="0"/>
    <n v="535.97"/>
    <n v="105.58"/>
    <m/>
    <n v="577.4169539089072"/>
    <n v="102.14734404655933"/>
    <n v="0"/>
    <n v="21087.928799999987"/>
    <n v="0"/>
    <n v="10456.325723307118"/>
    <x v="1"/>
  </r>
  <r>
    <s v="Sistema de Compensação"/>
    <x v="2"/>
    <x v="2"/>
    <x v="1"/>
    <x v="1"/>
    <x v="0"/>
    <x v="0"/>
    <x v="2"/>
    <x v="10"/>
    <n v="0"/>
    <n v="0"/>
    <n v="28.602"/>
    <n v="28.602"/>
    <n v="28.602"/>
    <n v="28.602"/>
    <n v="18"/>
    <s v="CATIVO"/>
    <n v="0"/>
    <n v="0"/>
    <n v="49"/>
    <n v="59"/>
    <n v="0"/>
    <n v="535.97"/>
    <n v="105.58"/>
    <m/>
    <n v="577.4169539089072"/>
    <n v="102.14734404655933"/>
    <n v="0"/>
    <n v="2502.1029599999983"/>
    <n v="0"/>
    <n v="1240.6530670290806"/>
    <x v="1"/>
  </r>
  <r>
    <s v="PROJETADO"/>
    <x v="2"/>
    <x v="2"/>
    <x v="1"/>
    <x v="1"/>
    <x v="0"/>
    <x v="0"/>
    <x v="2"/>
    <x v="11"/>
    <n v="0"/>
    <n v="0"/>
    <n v="241.06"/>
    <n v="241.06"/>
    <n v="241.06"/>
    <n v="241.06"/>
    <n v="698"/>
    <s v="CATIVO"/>
    <n v="0"/>
    <n v="0"/>
    <n v="49"/>
    <n v="59"/>
    <n v="0"/>
    <n v="535.97"/>
    <n v="105.58"/>
    <m/>
    <n v="577.4169539089072"/>
    <n v="102.14734404655933"/>
    <n v="0"/>
    <n v="21087.928799999987"/>
    <n v="0"/>
    <n v="10456.325723307118"/>
    <x v="1"/>
  </r>
  <r>
    <s v="PROJETADO"/>
    <x v="2"/>
    <x v="2"/>
    <x v="1"/>
    <x v="1"/>
    <x v="0"/>
    <x v="0"/>
    <x v="2"/>
    <x v="11"/>
    <n v="0"/>
    <n v="0"/>
    <n v="28.602"/>
    <n v="28.602"/>
    <n v="28.602"/>
    <n v="28.602"/>
    <n v="18"/>
    <s v="CATIVO"/>
    <n v="0"/>
    <n v="0"/>
    <n v="49"/>
    <n v="59"/>
    <n v="0"/>
    <n v="535.97"/>
    <n v="105.58"/>
    <m/>
    <n v="577.4169539089072"/>
    <n v="102.14734404655933"/>
    <n v="0"/>
    <n v="2502.1029599999983"/>
    <n v="0"/>
    <n v="1240.6530670290806"/>
    <x v="1"/>
  </r>
  <r>
    <s v="Regular"/>
    <x v="3"/>
    <x v="2"/>
    <x v="0"/>
    <x v="0"/>
    <x v="0"/>
    <x v="0"/>
    <x v="2"/>
    <x v="0"/>
    <n v="0"/>
    <n v="0"/>
    <n v="4.5170000000000003"/>
    <n v="4.2459800000000003"/>
    <n v="4.5170000000000003"/>
    <n v="4.2459800000000003"/>
    <n v="7"/>
    <s v="CATIVO"/>
    <n v="0"/>
    <n v="0"/>
    <n v="28"/>
    <n v="76"/>
    <n v="0"/>
    <n v="609.05999999999995"/>
    <n v="119.97"/>
    <m/>
    <n v="614.27335522224178"/>
    <n v="108.66738728357376"/>
    <n v="0"/>
    <n v="197.58171060000001"/>
    <n v="0"/>
    <n v="195.93140003392617"/>
    <x v="0"/>
  </r>
  <r>
    <s v="Regular"/>
    <x v="3"/>
    <x v="2"/>
    <x v="0"/>
    <x v="0"/>
    <x v="0"/>
    <x v="0"/>
    <x v="2"/>
    <x v="1"/>
    <n v="0"/>
    <n v="0"/>
    <n v="4.6639999999999997"/>
    <n v="4.3841599999999996"/>
    <n v="4.6639999999999997"/>
    <n v="4.3841599999999996"/>
    <n v="7"/>
    <s v="CATIVO"/>
    <n v="0"/>
    <n v="0"/>
    <n v="28"/>
    <n v="76"/>
    <n v="0"/>
    <n v="609.05999999999995"/>
    <n v="119.97"/>
    <m/>
    <n v="614.27335522224178"/>
    <n v="108.66738728357376"/>
    <n v="0"/>
    <n v="204.01175520000007"/>
    <n v="0"/>
    <n v="202.3077373828275"/>
    <x v="0"/>
  </r>
  <r>
    <s v="Regular"/>
    <x v="3"/>
    <x v="2"/>
    <x v="0"/>
    <x v="0"/>
    <x v="0"/>
    <x v="0"/>
    <x v="2"/>
    <x v="4"/>
    <n v="0"/>
    <n v="0"/>
    <n v="4.6029999999999998"/>
    <n v="4.3268199999999997"/>
    <n v="4.6029999999999998"/>
    <n v="4.3268199999999997"/>
    <n v="7"/>
    <s v="CATIVO"/>
    <n v="0"/>
    <n v="0"/>
    <n v="28"/>
    <n v="76"/>
    <n v="0"/>
    <n v="609.05999999999995"/>
    <n v="119.97"/>
    <m/>
    <n v="614.27335522224178"/>
    <n v="108.66738728357376"/>
    <n v="0"/>
    <n v="201.34350540000005"/>
    <n v="0"/>
    <n v="199.66177426525618"/>
    <x v="0"/>
  </r>
  <r>
    <s v="Regular"/>
    <x v="3"/>
    <x v="2"/>
    <x v="0"/>
    <x v="0"/>
    <x v="0"/>
    <x v="0"/>
    <x v="2"/>
    <x v="5"/>
    <n v="0"/>
    <n v="0"/>
    <n v="4.399"/>
    <n v="4.1350600000000002"/>
    <n v="4.399"/>
    <n v="4.1350600000000002"/>
    <n v="7"/>
    <s v="CATIVO"/>
    <n v="0"/>
    <n v="0"/>
    <n v="28"/>
    <n v="76"/>
    <n v="0"/>
    <n v="609.05999999999995"/>
    <n v="119.97"/>
    <m/>
    <n v="614.27335522224178"/>
    <n v="108.66738728357376"/>
    <n v="0"/>
    <n v="192.42017819999987"/>
    <n v="0"/>
    <n v="190.81297957698484"/>
    <x v="0"/>
  </r>
  <r>
    <s v="Regular"/>
    <x v="3"/>
    <x v="2"/>
    <x v="0"/>
    <x v="0"/>
    <x v="0"/>
    <x v="0"/>
    <x v="2"/>
    <x v="6"/>
    <n v="0"/>
    <n v="0"/>
    <n v="4.9820000000000002"/>
    <n v="4.6830800000000004"/>
    <n v="4.9820000000000002"/>
    <n v="4.6830800000000004"/>
    <n v="7"/>
    <s v="CATIVO"/>
    <n v="0"/>
    <n v="0"/>
    <n v="28"/>
    <n v="76"/>
    <n v="0"/>
    <n v="609.05999999999995"/>
    <n v="119.97"/>
    <m/>
    <n v="614.27335522224178"/>
    <n v="108.66738728357376"/>
    <n v="0"/>
    <n v="217.92164759999989"/>
    <n v="0"/>
    <n v="216.10144674983826"/>
    <x v="0"/>
  </r>
  <r>
    <s v="Regular"/>
    <x v="3"/>
    <x v="2"/>
    <x v="0"/>
    <x v="0"/>
    <x v="0"/>
    <x v="0"/>
    <x v="2"/>
    <x v="2"/>
    <n v="0"/>
    <n v="0"/>
    <n v="5.7190000000000003"/>
    <n v="5.3758600000000003"/>
    <n v="5.7190000000000003"/>
    <n v="5.3758600000000003"/>
    <n v="7"/>
    <s v="CATIVO"/>
    <n v="0"/>
    <n v="0"/>
    <n v="28"/>
    <n v="76"/>
    <n v="0"/>
    <n v="609.05999999999995"/>
    <n v="119.97"/>
    <m/>
    <n v="614.27335522224178"/>
    <n v="108.66738728357376"/>
    <n v="0"/>
    <n v="250.1593542"/>
    <n v="0"/>
    <n v="248.06988638344555"/>
    <x v="0"/>
  </r>
  <r>
    <s v="Regular"/>
    <x v="3"/>
    <x v="2"/>
    <x v="0"/>
    <x v="0"/>
    <x v="0"/>
    <x v="0"/>
    <x v="2"/>
    <x v="3"/>
    <n v="0"/>
    <n v="0"/>
    <n v="5.2949999999999999"/>
    <n v="4.9772999999999996"/>
    <n v="5.2949999999999999"/>
    <n v="4.9772999999999996"/>
    <n v="7"/>
    <s v="CATIVO"/>
    <n v="0"/>
    <n v="0"/>
    <n v="28"/>
    <n v="76"/>
    <n v="0"/>
    <n v="609.05999999999995"/>
    <n v="119.97"/>
    <m/>
    <n v="614.27335522224178"/>
    <n v="108.66738728357376"/>
    <n v="0"/>
    <n v="231.61283100000023"/>
    <n v="0"/>
    <n v="229.67827389409783"/>
    <x v="0"/>
  </r>
  <r>
    <s v="Regular"/>
    <x v="3"/>
    <x v="2"/>
    <x v="0"/>
    <x v="0"/>
    <x v="0"/>
    <x v="0"/>
    <x v="2"/>
    <x v="7"/>
    <n v="0"/>
    <n v="0"/>
    <n v="4.95"/>
    <n v="4.6529999999999996"/>
    <n v="4.95"/>
    <n v="4.6529999999999996"/>
    <n v="7"/>
    <s v="CATIVO"/>
    <n v="0"/>
    <n v="0"/>
    <n v="28"/>
    <n v="76"/>
    <n v="0"/>
    <n v="609.05999999999995"/>
    <n v="119.97"/>
    <m/>
    <n v="614.27335522224178"/>
    <n v="108.66738728357376"/>
    <n v="0"/>
    <n v="216.52191000000045"/>
    <n v="0"/>
    <n v="214.71340052422764"/>
    <x v="0"/>
  </r>
  <r>
    <s v="Regular"/>
    <x v="3"/>
    <x v="2"/>
    <x v="0"/>
    <x v="0"/>
    <x v="0"/>
    <x v="0"/>
    <x v="2"/>
    <x v="8"/>
    <n v="0"/>
    <n v="0"/>
    <n v="4.4809999999999999"/>
    <n v="4.2121399999999998"/>
    <n v="4.4809999999999999"/>
    <n v="4.2121399999999998"/>
    <n v="7"/>
    <s v="CATIVO"/>
    <n v="0"/>
    <n v="0"/>
    <n v="28"/>
    <n v="76"/>
    <n v="0"/>
    <n v="609.05999999999995"/>
    <n v="119.97"/>
    <m/>
    <n v="614.27335522224178"/>
    <n v="108.66738728357376"/>
    <n v="0"/>
    <n v="196.00700580000006"/>
    <n v="0"/>
    <n v="194.36984803011364"/>
    <x v="0"/>
  </r>
  <r>
    <s v="Regular"/>
    <x v="3"/>
    <x v="2"/>
    <x v="0"/>
    <x v="0"/>
    <x v="0"/>
    <x v="0"/>
    <x v="2"/>
    <x v="9"/>
    <n v="0"/>
    <n v="0"/>
    <n v="6.141"/>
    <n v="5.7725400000000002"/>
    <n v="6.141"/>
    <n v="5.7725400000000002"/>
    <n v="7"/>
    <s v="CATIVO"/>
    <n v="0"/>
    <n v="0"/>
    <n v="28"/>
    <n v="76"/>
    <n v="0"/>
    <n v="609.05999999999995"/>
    <n v="119.97"/>
    <m/>
    <n v="614.27335522224178"/>
    <n v="108.66738728357376"/>
    <n v="0"/>
    <n v="268.61839379999981"/>
    <n v="0"/>
    <n v="266.37474598369261"/>
    <x v="0"/>
  </r>
  <r>
    <s v="Regular"/>
    <x v="3"/>
    <x v="2"/>
    <x v="0"/>
    <x v="0"/>
    <x v="0"/>
    <x v="0"/>
    <x v="2"/>
    <x v="10"/>
    <n v="0"/>
    <n v="0"/>
    <n v="5.5609999999999999"/>
    <n v="5.2273399999999999"/>
    <n v="5.5609999999999999"/>
    <n v="5.2273399999999999"/>
    <n v="7"/>
    <s v="CATIVO"/>
    <n v="0"/>
    <n v="0"/>
    <n v="28"/>
    <n v="76"/>
    <n v="0"/>
    <n v="609.05999999999995"/>
    <n v="119.97"/>
    <m/>
    <n v="614.27335522224178"/>
    <n v="108.66738728357376"/>
    <n v="0"/>
    <n v="243.24814980000005"/>
    <n v="0"/>
    <n v="241.21640814449046"/>
    <x v="0"/>
  </r>
  <r>
    <s v="PROJETADO"/>
    <x v="3"/>
    <x v="2"/>
    <x v="0"/>
    <x v="0"/>
    <x v="0"/>
    <x v="0"/>
    <x v="2"/>
    <x v="11"/>
    <n v="0"/>
    <n v="0"/>
    <n v="5.5609999999999999"/>
    <n v="5.2273399999999999"/>
    <n v="5.5609999999999999"/>
    <n v="5.2273399999999999"/>
    <n v="7"/>
    <s v="CATIVO"/>
    <n v="0"/>
    <n v="0"/>
    <n v="28"/>
    <n v="76"/>
    <n v="0"/>
    <n v="609.05999999999995"/>
    <n v="119.97"/>
    <m/>
    <n v="614.27335522224178"/>
    <n v="108.66738728357376"/>
    <n v="0"/>
    <n v="243.24814980000005"/>
    <n v="0"/>
    <n v="241.21640814449046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BC9109-FDEF-4AD1-925A-D109373BA4F9}" name="Efeito Resumo" cacheId="25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J349" firstHeaderRow="0" firstDataRow="1" firstDataCol="1"/>
  <pivotFields count="36">
    <pivotField showAll="0"/>
    <pivotField axis="axisRow" showAll="0">
      <items count="6">
        <item x="0"/>
        <item x="1"/>
        <item x="2"/>
        <item x="3"/>
        <item x="4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axis="axisRow" showAll="0">
      <items count="9">
        <item x="4"/>
        <item x="5"/>
        <item x="7"/>
        <item x="1"/>
        <item x="6"/>
        <item x="3"/>
        <item x="2"/>
        <item x="0"/>
        <item t="default"/>
      </items>
    </pivotField>
    <pivotField axis="axisRow" showAll="0">
      <items count="9">
        <item x="0"/>
        <item x="7"/>
        <item x="1"/>
        <item x="2"/>
        <item x="3"/>
        <item x="4"/>
        <item x="5"/>
        <item x="6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5">
        <item x="0"/>
        <item x="3"/>
        <item x="2"/>
        <item x="1"/>
        <item t="default"/>
      </items>
    </pivotField>
    <pivotField axis="axisRow" numFmtId="1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axis="axisRow" showAll="0">
      <items count="2">
        <item x="0"/>
        <item t="default"/>
      </items>
    </pivotField>
    <pivotField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numFmtId="40" showAll="0"/>
    <pivotField dataField="1" dragToRow="0" dragToCol="0" dragToPage="0" showAll="0" defaultSubtotal="0"/>
    <pivotField dataField="1" dragToRow="0" dragToCol="0" dragToPage="0" showAll="0" defaultSubtotal="0"/>
    <pivotField dataField="1" dragToRow="0" dragToCol="0" dragToPage="0" showAll="0" defaultSubtotal="0"/>
  </pivotFields>
  <rowFields count="9">
    <field x="16"/>
    <field x="1"/>
    <field x="2"/>
    <field x="3"/>
    <field x="4"/>
    <field x="5"/>
    <field x="6"/>
    <field x="7"/>
    <field x="8"/>
  </rowFields>
  <rowItems count="348">
    <i>
      <x/>
    </i>
    <i r="1">
      <x/>
    </i>
    <i r="2">
      <x/>
    </i>
    <i r="3">
      <x v="7"/>
    </i>
    <i r="4">
      <x/>
    </i>
    <i r="5">
      <x/>
    </i>
    <i r="6">
      <x/>
    </i>
    <i r="7">
      <x/>
    </i>
    <i r="8">
      <x/>
    </i>
    <i r="8">
      <x v="1"/>
    </i>
    <i r="7">
      <x v="3"/>
    </i>
    <i r="8">
      <x/>
    </i>
    <i r="8">
      <x v="1"/>
    </i>
    <i r="2">
      <x v="3"/>
    </i>
    <i r="3">
      <x v="3"/>
    </i>
    <i r="4">
      <x v="2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6"/>
    </i>
    <i r="4">
      <x v="2"/>
    </i>
    <i r="5">
      <x/>
    </i>
    <i r="6">
      <x/>
    </i>
    <i r="7">
      <x/>
    </i>
    <i r="8">
      <x v="5"/>
    </i>
    <i r="8">
      <x v="6"/>
    </i>
    <i r="7">
      <x v="2"/>
    </i>
    <i r="8">
      <x v="5"/>
    </i>
    <i r="8">
      <x v="6"/>
    </i>
    <i r="7">
      <x v="3"/>
    </i>
    <i r="8">
      <x v="5"/>
    </i>
    <i r="8">
      <x v="6"/>
    </i>
    <i r="3">
      <x v="7"/>
    </i>
    <i r="4">
      <x/>
    </i>
    <i r="5">
      <x/>
    </i>
    <i r="6">
      <x/>
    </i>
    <i r="7">
      <x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1"/>
    </i>
    <i r="2">
      <x v="2"/>
    </i>
    <i r="3">
      <x v="5"/>
    </i>
    <i r="4">
      <x v="3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7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2"/>
    </i>
    <i r="2">
      <x v="2"/>
    </i>
    <i r="3">
      <x v="6"/>
    </i>
    <i r="4">
      <x v="2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 v="3"/>
    </i>
    <i r="4">
      <x v="2"/>
    </i>
    <i r="5">
      <x/>
    </i>
    <i r="6">
      <x/>
    </i>
    <i r="7">
      <x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3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2">
      <x v="2"/>
    </i>
    <i r="3">
      <x/>
    </i>
    <i r="4">
      <x v="2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1"/>
    </i>
    <i r="4">
      <x v="2"/>
    </i>
    <i r="5">
      <x/>
    </i>
    <i r="6">
      <x/>
    </i>
    <i r="7">
      <x v="2"/>
    </i>
    <i r="8">
      <x/>
    </i>
    <i r="3">
      <x v="3"/>
    </i>
    <i r="4">
      <x v="2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4"/>
    </i>
    <i r="4">
      <x v="2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3">
      <x v="7"/>
    </i>
    <i r="4">
      <x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4"/>
    </i>
    <i r="2">
      <x v="2"/>
    </i>
    <i r="3">
      <x v="2"/>
    </i>
    <i r="4">
      <x v="1"/>
    </i>
    <i r="5">
      <x/>
    </i>
    <i r="6">
      <x/>
    </i>
    <i r="7">
      <x v="2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oma de RA0 ou RV - TUSD (kW)" fld="27" baseField="0" baseItem="0" numFmtId="40"/>
    <dataField name="Soma de RA1 ou RRD - TUSD (kW)" fld="30" baseField="0" baseItem="0" numFmtId="40"/>
    <dataField name="Soma de RA0 ou RV - TUSD (MWh)" fld="28" baseField="0" baseItem="0" numFmtId="40"/>
    <dataField name="Soma de RA1 ou RRD - TUSD (MWh)" fld="31" baseField="0" baseItem="0" numFmtId="40"/>
    <dataField name="Soma de RA0 ou RV - TE (MWh)" fld="29" baseField="0" baseItem="0" numFmtId="40"/>
    <dataField name="Soma de RA1 ou RRD - TE (MWh)" fld="32" baseField="0" baseItem="0" numFmtId="40"/>
    <dataField name="Soma de Variação TUSD" fld="33" baseField="0" baseItem="0" numFmtId="166"/>
    <dataField name="Soma de Variação TE" fld="34" baseField="0" baseItem="0" numFmtId="166"/>
    <dataField name="Soma de Variação" fld="35" baseField="0" baseItem="0" numFmtId="166"/>
  </dataFields>
  <formats count="220">
    <format dxfId="519">
      <pivotArea outline="0" collapsedLevelsAreSubtotals="1" fieldPosition="0">
        <references count="1">
          <reference field="4294967294" count="6" selected="0">
            <x v="0"/>
            <x v="1"/>
            <x v="2"/>
            <x v="3"/>
            <x v="4"/>
            <x v="5"/>
          </reference>
        </references>
      </pivotArea>
    </format>
    <format dxfId="51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517">
      <pivotArea outline="0" collapsedLevelsAreSubtotals="1" fieldPosition="0">
        <references count="1">
          <reference field="4294967294" count="3" selected="0">
            <x v="6"/>
            <x v="7"/>
            <x v="8"/>
          </reference>
        </references>
      </pivotArea>
    </format>
    <format dxfId="516">
      <pivotArea dataOnly="0" labelOnly="1" outline="0" fieldPosition="0">
        <references count="1">
          <reference field="4294967294" count="3">
            <x v="6"/>
            <x v="7"/>
            <x v="8"/>
          </reference>
        </references>
      </pivotArea>
    </format>
    <format dxfId="515">
      <pivotArea type="all" dataOnly="0" outline="0" fieldPosition="0"/>
    </format>
    <format dxfId="514">
      <pivotArea outline="0" collapsedLevelsAreSubtotals="1" fieldPosition="0"/>
    </format>
    <format dxfId="513">
      <pivotArea field="16" type="button" dataOnly="0" labelOnly="1" outline="0" axis="axisRow" fieldPosition="0"/>
    </format>
    <format dxfId="512">
      <pivotArea dataOnly="0" labelOnly="1" fieldPosition="0">
        <references count="1">
          <reference field="16" count="0"/>
        </references>
      </pivotArea>
    </format>
    <format dxfId="511">
      <pivotArea dataOnly="0" labelOnly="1" fieldPosition="0">
        <references count="2">
          <reference field="1" count="0"/>
          <reference field="16" count="0" selected="0"/>
        </references>
      </pivotArea>
    </format>
    <format dxfId="510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16" count="0" selected="0"/>
        </references>
      </pivotArea>
    </format>
    <format dxfId="509">
      <pivotArea dataOnly="0" labelOnly="1" fieldPosition="0">
        <references count="3">
          <reference field="1" count="1" selected="0">
            <x v="1"/>
          </reference>
          <reference field="2" count="1">
            <x v="2"/>
          </reference>
          <reference field="16" count="0" selected="0"/>
        </references>
      </pivotArea>
    </format>
    <format dxfId="508">
      <pivotArea dataOnly="0" labelOnly="1" fieldPosition="0">
        <references count="3">
          <reference field="1" count="1" selected="0">
            <x v="2"/>
          </reference>
          <reference field="2" count="1">
            <x v="2"/>
          </reference>
          <reference field="16" count="0" selected="0"/>
        </references>
      </pivotArea>
    </format>
    <format dxfId="507">
      <pivotArea dataOnly="0" labelOnly="1" fieldPosition="0">
        <references count="3">
          <reference field="1" count="1" selected="0">
            <x v="3"/>
          </reference>
          <reference field="2" count="2">
            <x v="1"/>
            <x v="2"/>
          </reference>
          <reference field="16" count="0" selected="0"/>
        </references>
      </pivotArea>
    </format>
    <format dxfId="506">
      <pivotArea dataOnly="0" labelOnly="1" fieldPosition="0">
        <references count="3">
          <reference field="1" count="1" selected="0">
            <x v="4"/>
          </reference>
          <reference field="2" count="1">
            <x v="2"/>
          </reference>
          <reference field="16" count="0" selected="0"/>
        </references>
      </pivotArea>
    </format>
    <format dxfId="505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7"/>
          </reference>
          <reference field="16" count="0" selected="0"/>
        </references>
      </pivotArea>
    </format>
    <format dxfId="504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3">
            <x v="3"/>
            <x v="6"/>
            <x v="7"/>
          </reference>
          <reference field="16" count="0" selected="0"/>
        </references>
      </pivotArea>
    </format>
    <format dxfId="503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>
            <x v="5"/>
          </reference>
          <reference field="16" count="0" selected="0"/>
        </references>
      </pivotArea>
    </format>
    <format dxfId="502">
      <pivotArea dataOnly="0" labelOnly="1" fieldPosition="0">
        <references count="4">
          <reference field="1" count="1" selected="0">
            <x v="2"/>
          </reference>
          <reference field="2" count="1" selected="0">
            <x v="2"/>
          </reference>
          <reference field="3" count="1">
            <x v="6"/>
          </reference>
          <reference field="16" count="0" selected="0"/>
        </references>
      </pivotArea>
    </format>
    <format dxfId="501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16" count="0" selected="0"/>
        </references>
      </pivotArea>
    </format>
    <format dxfId="500">
      <pivotArea dataOnly="0" labelOnly="1" fieldPosition="0">
        <references count="4">
          <reference field="1" count="1" selected="0">
            <x v="3"/>
          </reference>
          <reference field="2" count="1" selected="0">
            <x v="2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499">
      <pivotArea dataOnly="0" labelOnly="1" fieldPosition="0">
        <references count="4">
          <reference field="1" count="1" selected="0">
            <x v="4"/>
          </reference>
          <reference field="2" count="1" selected="0">
            <x v="2"/>
          </reference>
          <reference field="3" count="1">
            <x v="2"/>
          </reference>
          <reference field="16" count="0" selected="0"/>
        </references>
      </pivotArea>
    </format>
    <format dxfId="498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0"/>
          </reference>
          <reference field="16" count="0" selected="0"/>
        </references>
      </pivotArea>
    </format>
    <format dxfId="49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2"/>
          </reference>
          <reference field="16" count="0" selected="0"/>
        </references>
      </pivotArea>
    </format>
    <format dxfId="496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>
            <x v="2"/>
          </reference>
          <reference field="16" count="0" selected="0"/>
        </references>
      </pivotArea>
    </format>
    <format dxfId="495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>
            <x v="0"/>
          </reference>
          <reference field="16" count="0" selected="0"/>
        </references>
      </pivotArea>
    </format>
    <format dxfId="494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5">
            <x v="3"/>
            <x v="4"/>
            <x v="5"/>
            <x v="6"/>
            <x v="7"/>
          </reference>
          <reference field="16" count="0" selected="0"/>
        </references>
      </pivotArea>
    </format>
    <format dxfId="493">
      <pivotArea dataOnly="0" labelOnly="1" fieldPosition="0">
        <references count="5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2"/>
          </reference>
          <reference field="16" count="0" selected="0"/>
        </references>
      </pivotArea>
    </format>
    <format dxfId="492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2"/>
          </reference>
          <reference field="16" count="0" selected="0"/>
        </references>
      </pivotArea>
    </format>
    <format dxfId="491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16" count="0" selected="0"/>
        </references>
      </pivotArea>
    </format>
    <format dxfId="490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2"/>
          </reference>
          <reference field="16" count="0" selected="0"/>
        </references>
      </pivotArea>
    </format>
    <format dxfId="489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2"/>
          </reference>
          <reference field="16" count="0" selected="0"/>
        </references>
      </pivotArea>
    </format>
    <format dxfId="488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2"/>
          </reference>
          <reference field="16" count="0" selected="0"/>
        </references>
      </pivotArea>
    </format>
    <format dxfId="487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0"/>
          </reference>
          <reference field="16" count="0" selected="0"/>
        </references>
      </pivotArea>
    </format>
    <format dxfId="486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1"/>
          </reference>
          <reference field="16" count="0" selected="0"/>
        </references>
      </pivotArea>
    </format>
    <format dxfId="485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0"/>
          </reference>
          <reference field="5" count="0"/>
          <reference field="16" count="0" selected="0"/>
        </references>
      </pivotArea>
    </format>
    <format dxfId="484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483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482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0"/>
          </reference>
          <reference field="5" count="0"/>
          <reference field="16" count="0" selected="0"/>
        </references>
      </pivotArea>
    </format>
    <format dxfId="481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480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0"/>
          <reference field="16" count="0" selected="0"/>
        </references>
      </pivotArea>
    </format>
    <format dxfId="47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0"/>
          <reference field="16" count="0" selected="0"/>
        </references>
      </pivotArea>
    </format>
    <format dxfId="478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0"/>
          <reference field="16" count="0" selected="0"/>
        </references>
      </pivotArea>
    </format>
    <format dxfId="477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0"/>
          <reference field="16" count="0" selected="0"/>
        </references>
      </pivotArea>
    </format>
    <format dxfId="476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475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474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473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472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471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470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/>
          <reference field="16" count="0" selected="0"/>
        </references>
      </pivotArea>
    </format>
    <format dxfId="469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  <reference field="5" count="0"/>
          <reference field="16" count="0" selected="0"/>
        </references>
      </pivotArea>
    </format>
    <format dxfId="468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/>
          <reference field="16" count="0" selected="0"/>
        </references>
      </pivotArea>
    </format>
    <format dxfId="467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466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465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/>
          <reference field="16" count="0" selected="0"/>
        </references>
      </pivotArea>
    </format>
    <format dxfId="464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463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/>
          <reference field="16" count="0" selected="0"/>
        </references>
      </pivotArea>
    </format>
    <format dxfId="462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0" selected="0"/>
          <reference field="6" count="0"/>
          <reference field="16" count="0" selected="0"/>
        </references>
      </pivotArea>
    </format>
    <format dxfId="461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0" selected="0"/>
          <reference field="6" count="0"/>
          <reference field="16" count="0" selected="0"/>
        </references>
      </pivotArea>
    </format>
    <format dxfId="460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0" selected="0"/>
          <reference field="6" count="0"/>
          <reference field="16" count="0" selected="0"/>
        </references>
      </pivotArea>
    </format>
    <format dxfId="459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458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457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456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455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454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453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/>
          <reference field="16" count="0" selected="0"/>
        </references>
      </pivotArea>
    </format>
    <format dxfId="452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  <reference field="5" count="0" selected="0"/>
          <reference field="6" count="0"/>
          <reference field="16" count="0" selected="0"/>
        </references>
      </pivotArea>
    </format>
    <format dxfId="451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2">
            <x v="0"/>
            <x v="3"/>
          </reference>
          <reference field="16" count="0" selected="0"/>
        </references>
      </pivotArea>
    </format>
    <format dxfId="45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449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448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447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4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45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44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43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42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41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440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39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38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37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36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35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434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0"/>
          </reference>
          <reference field="8" count="2">
            <x v="0"/>
            <x v="1"/>
          </reference>
          <reference field="16" count="0" selected="0"/>
        </references>
      </pivotArea>
    </format>
    <format dxfId="433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3"/>
          </reference>
          <reference field="8" count="2">
            <x v="0"/>
            <x v="1"/>
          </reference>
          <reference field="16" count="0" selected="0"/>
        </references>
      </pivotArea>
    </format>
    <format dxfId="43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3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3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2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0"/>
          </reference>
          <reference field="8" count="2">
            <x v="5"/>
            <x v="6"/>
          </reference>
          <reference field="16" count="0" selected="0"/>
        </references>
      </pivotArea>
    </format>
    <format dxfId="42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2">
            <x v="5"/>
            <x v="6"/>
          </reference>
          <reference field="16" count="0" selected="0"/>
        </references>
      </pivotArea>
    </format>
    <format dxfId="42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3"/>
          </reference>
          <reference field="8" count="2">
            <x v="5"/>
            <x v="6"/>
          </reference>
          <reference field="16" count="0" selected="0"/>
        </references>
      </pivotArea>
    </format>
    <format dxfId="42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0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0" selected="0"/>
        </references>
      </pivotArea>
    </format>
    <format dxfId="425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2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0" selected="0"/>
        </references>
      </pivotArea>
    </format>
    <format dxfId="42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3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0" selected="0"/>
        </references>
      </pivotArea>
    </format>
    <format dxfId="423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2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21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20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9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8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416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415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414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3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1">
            <x v="0"/>
          </reference>
          <reference field="16" count="0" selected="0"/>
        </references>
      </pivotArea>
    </format>
    <format dxfId="412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1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10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09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408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  <format dxfId="407">
      <pivotArea type="all" dataOnly="0" outline="0" fieldPosition="0"/>
    </format>
    <format dxfId="406">
      <pivotArea outline="0" collapsedLevelsAreSubtotals="1" fieldPosition="0"/>
    </format>
    <format dxfId="405">
      <pivotArea field="16" type="button" dataOnly="0" labelOnly="1" outline="0" axis="axisRow" fieldPosition="0"/>
    </format>
    <format dxfId="404">
      <pivotArea dataOnly="0" labelOnly="1" fieldPosition="0">
        <references count="1">
          <reference field="16" count="0"/>
        </references>
      </pivotArea>
    </format>
    <format dxfId="403">
      <pivotArea dataOnly="0" labelOnly="1" fieldPosition="0">
        <references count="2">
          <reference field="1" count="0"/>
          <reference field="16" count="0" selected="0"/>
        </references>
      </pivotArea>
    </format>
    <format dxfId="402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3"/>
          </reference>
          <reference field="16" count="0" selected="0"/>
        </references>
      </pivotArea>
    </format>
    <format dxfId="401">
      <pivotArea dataOnly="0" labelOnly="1" fieldPosition="0">
        <references count="3">
          <reference field="1" count="1" selected="0">
            <x v="1"/>
          </reference>
          <reference field="2" count="1">
            <x v="2"/>
          </reference>
          <reference field="16" count="0" selected="0"/>
        </references>
      </pivotArea>
    </format>
    <format dxfId="400">
      <pivotArea dataOnly="0" labelOnly="1" fieldPosition="0">
        <references count="3">
          <reference field="1" count="1" selected="0">
            <x v="2"/>
          </reference>
          <reference field="2" count="1">
            <x v="2"/>
          </reference>
          <reference field="16" count="0" selected="0"/>
        </references>
      </pivotArea>
    </format>
    <format dxfId="399">
      <pivotArea dataOnly="0" labelOnly="1" fieldPosition="0">
        <references count="3">
          <reference field="1" count="1" selected="0">
            <x v="3"/>
          </reference>
          <reference field="2" count="2">
            <x v="1"/>
            <x v="2"/>
          </reference>
          <reference field="16" count="0" selected="0"/>
        </references>
      </pivotArea>
    </format>
    <format dxfId="398">
      <pivotArea dataOnly="0" labelOnly="1" fieldPosition="0">
        <references count="3">
          <reference field="1" count="1" selected="0">
            <x v="4"/>
          </reference>
          <reference field="2" count="1">
            <x v="2"/>
          </reference>
          <reference field="16" count="0" selected="0"/>
        </references>
      </pivotArea>
    </format>
    <format dxfId="397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7"/>
          </reference>
          <reference field="16" count="0" selected="0"/>
        </references>
      </pivotArea>
    </format>
    <format dxfId="396">
      <pivotArea dataOnly="0" labelOnly="1" fieldPosition="0">
        <references count="4">
          <reference field="1" count="1" selected="0">
            <x v="0"/>
          </reference>
          <reference field="2" count="1" selected="0">
            <x v="3"/>
          </reference>
          <reference field="3" count="3">
            <x v="3"/>
            <x v="6"/>
            <x v="7"/>
          </reference>
          <reference field="16" count="0" selected="0"/>
        </references>
      </pivotArea>
    </format>
    <format dxfId="395">
      <pivotArea dataOnly="0" labelOnly="1" fieldPosition="0">
        <references count="4">
          <reference field="1" count="1" selected="0">
            <x v="1"/>
          </reference>
          <reference field="2" count="1" selected="0">
            <x v="2"/>
          </reference>
          <reference field="3" count="1">
            <x v="5"/>
          </reference>
          <reference field="16" count="0" selected="0"/>
        </references>
      </pivotArea>
    </format>
    <format dxfId="394">
      <pivotArea dataOnly="0" labelOnly="1" fieldPosition="0">
        <references count="4">
          <reference field="1" count="1" selected="0">
            <x v="2"/>
          </reference>
          <reference field="2" count="1" selected="0">
            <x v="2"/>
          </reference>
          <reference field="3" count="1">
            <x v="6"/>
          </reference>
          <reference field="16" count="0" selected="0"/>
        </references>
      </pivotArea>
    </format>
    <format dxfId="393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3"/>
          </reference>
          <reference field="16" count="0" selected="0"/>
        </references>
      </pivotArea>
    </format>
    <format dxfId="392">
      <pivotArea dataOnly="0" labelOnly="1" fieldPosition="0">
        <references count="4">
          <reference field="1" count="1" selected="0">
            <x v="3"/>
          </reference>
          <reference field="2" count="1" selected="0">
            <x v="2"/>
          </reference>
          <reference field="3" count="5">
            <x v="0"/>
            <x v="1"/>
            <x v="3"/>
            <x v="4"/>
            <x v="7"/>
          </reference>
          <reference field="16" count="0" selected="0"/>
        </references>
      </pivotArea>
    </format>
    <format dxfId="391">
      <pivotArea dataOnly="0" labelOnly="1" fieldPosition="0">
        <references count="4">
          <reference field="1" count="1" selected="0">
            <x v="4"/>
          </reference>
          <reference field="2" count="1" selected="0">
            <x v="2"/>
          </reference>
          <reference field="3" count="1">
            <x v="2"/>
          </reference>
          <reference field="16" count="0" selected="0"/>
        </references>
      </pivotArea>
    </format>
    <format dxfId="390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>
            <x v="0"/>
          </reference>
          <reference field="16" count="0" selected="0"/>
        </references>
      </pivotArea>
    </format>
    <format dxfId="389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>
            <x v="2"/>
          </reference>
          <reference field="16" count="0" selected="0"/>
        </references>
      </pivotArea>
    </format>
    <format dxfId="388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>
            <x v="2"/>
          </reference>
          <reference field="16" count="0" selected="0"/>
        </references>
      </pivotArea>
    </format>
    <format dxfId="387">
      <pivotArea dataOnly="0" labelOnly="1" fieldPosition="0">
        <references count="5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>
            <x v="0"/>
          </reference>
          <reference field="16" count="0" selected="0"/>
        </references>
      </pivotArea>
    </format>
    <format dxfId="386">
      <pivotArea dataOnly="0" labelOnly="1" fieldPosition="0">
        <references count="5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5">
            <x v="3"/>
            <x v="4"/>
            <x v="5"/>
            <x v="6"/>
            <x v="7"/>
          </reference>
          <reference field="16" count="0" selected="0"/>
        </references>
      </pivotArea>
    </format>
    <format dxfId="385">
      <pivotArea dataOnly="0" labelOnly="1" fieldPosition="0">
        <references count="5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>
            <x v="2"/>
          </reference>
          <reference field="16" count="0" selected="0"/>
        </references>
      </pivotArea>
    </format>
    <format dxfId="38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>
            <x v="2"/>
          </reference>
          <reference field="16" count="0" selected="0"/>
        </references>
      </pivotArea>
    </format>
    <format dxfId="383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>
            <x v="2"/>
          </reference>
          <reference field="16" count="0" selected="0"/>
        </references>
      </pivotArea>
    </format>
    <format dxfId="382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2"/>
          </reference>
          <reference field="16" count="0" selected="0"/>
        </references>
      </pivotArea>
    </format>
    <format dxfId="381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>
            <x v="2"/>
          </reference>
          <reference field="16" count="0" selected="0"/>
        </references>
      </pivotArea>
    </format>
    <format dxfId="380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>
            <x v="2"/>
          </reference>
          <reference field="16" count="0" selected="0"/>
        </references>
      </pivotArea>
    </format>
    <format dxfId="379">
      <pivotArea dataOnly="0" labelOnly="1" fieldPosition="0">
        <references count="5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>
            <x v="0"/>
          </reference>
          <reference field="16" count="0" selected="0"/>
        </references>
      </pivotArea>
    </format>
    <format dxfId="378">
      <pivotArea dataOnly="0" labelOnly="1" fieldPosition="0">
        <references count="5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1"/>
          </reference>
          <reference field="16" count="0" selected="0"/>
        </references>
      </pivotArea>
    </format>
    <format dxfId="377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0"/>
          </reference>
          <reference field="5" count="0"/>
          <reference field="16" count="0" selected="0"/>
        </references>
      </pivotArea>
    </format>
    <format dxfId="376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375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374">
      <pivotArea dataOnly="0" labelOnly="1" fieldPosition="0">
        <references count="6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0"/>
          </reference>
          <reference field="5" count="0"/>
          <reference field="16" count="0" selected="0"/>
        </references>
      </pivotArea>
    </format>
    <format dxfId="373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0"/>
          <reference field="16" count="0" selected="0"/>
        </references>
      </pivotArea>
    </format>
    <format dxfId="372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0"/>
          <reference field="16" count="0" selected="0"/>
        </references>
      </pivotArea>
    </format>
    <format dxfId="371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0"/>
          <reference field="16" count="0" selected="0"/>
        </references>
      </pivotArea>
    </format>
    <format dxfId="370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0"/>
          <reference field="16" count="0" selected="0"/>
        </references>
      </pivotArea>
    </format>
    <format dxfId="369">
      <pivotArea dataOnly="0" labelOnly="1" fieldPosition="0">
        <references count="6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0"/>
          <reference field="16" count="0" selected="0"/>
        </references>
      </pivotArea>
    </format>
    <format dxfId="368">
      <pivotArea dataOnly="0" labelOnly="1" fieldPosition="0">
        <references count="6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36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366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365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364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363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2"/>
          </reference>
          <reference field="5" count="0"/>
          <reference field="16" count="0" selected="0"/>
        </references>
      </pivotArea>
    </format>
    <format dxfId="362">
      <pivotArea dataOnly="0" labelOnly="1" fieldPosition="0">
        <references count="6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/>
          <reference field="16" count="0" selected="0"/>
        </references>
      </pivotArea>
    </format>
    <format dxfId="361">
      <pivotArea dataOnly="0" labelOnly="1" fieldPosition="0">
        <references count="6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  <reference field="5" count="0"/>
          <reference field="16" count="0" selected="0"/>
        </references>
      </pivotArea>
    </format>
    <format dxfId="360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/>
          <reference field="16" count="0" selected="0"/>
        </references>
      </pivotArea>
    </format>
    <format dxfId="359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358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357">
      <pivotArea dataOnly="0" labelOnly="1" fieldPosition="0">
        <references count="7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/>
          <reference field="16" count="0" selected="0"/>
        </references>
      </pivotArea>
    </format>
    <format dxfId="356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0" selected="0"/>
          <reference field="6" count="0"/>
          <reference field="16" count="0" selected="0"/>
        </references>
      </pivotArea>
    </format>
    <format dxfId="355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/>
          <reference field="16" count="0" selected="0"/>
        </references>
      </pivotArea>
    </format>
    <format dxfId="354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0" selected="0"/>
          <reference field="6" count="0"/>
          <reference field="16" count="0" selected="0"/>
        </references>
      </pivotArea>
    </format>
    <format dxfId="353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0" selected="0"/>
          <reference field="6" count="0"/>
          <reference field="16" count="0" selected="0"/>
        </references>
      </pivotArea>
    </format>
    <format dxfId="352">
      <pivotArea dataOnly="0" labelOnly="1" fieldPosition="0">
        <references count="7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0" selected="0"/>
          <reference field="6" count="0"/>
          <reference field="16" count="0" selected="0"/>
        </references>
      </pivotArea>
    </format>
    <format dxfId="351">
      <pivotArea dataOnly="0" labelOnly="1" fieldPosition="0">
        <references count="7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350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349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348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347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346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2"/>
          </reference>
          <reference field="5" count="0" selected="0"/>
          <reference field="6" count="0"/>
          <reference field="16" count="0" selected="0"/>
        </references>
      </pivotArea>
    </format>
    <format dxfId="345">
      <pivotArea dataOnly="0" labelOnly="1" fieldPosition="0">
        <references count="7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/>
          <reference field="16" count="0" selected="0"/>
        </references>
      </pivotArea>
    </format>
    <format dxfId="344">
      <pivotArea dataOnly="0" labelOnly="1" fieldPosition="0">
        <references count="7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  <reference field="5" count="0" selected="0"/>
          <reference field="6" count="0"/>
          <reference field="16" count="0" selected="0"/>
        </references>
      </pivotArea>
    </format>
    <format dxfId="343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2">
            <x v="0"/>
            <x v="3"/>
          </reference>
          <reference field="16" count="0" selected="0"/>
        </references>
      </pivotArea>
    </format>
    <format dxfId="342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41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40">
      <pivotArea dataOnly="0" labelOnly="1" fieldPosition="0">
        <references count="8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3">
            <x v="0"/>
            <x v="2"/>
            <x v="3"/>
          </reference>
          <reference field="16" count="0" selected="0"/>
        </references>
      </pivotArea>
    </format>
    <format dxfId="339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338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337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336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335">
      <pivotArea dataOnly="0" labelOnly="1" fieldPosition="0">
        <references count="8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334">
      <pivotArea dataOnly="0" labelOnly="1" fieldPosition="0">
        <references count="8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33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3">
            <x v="0"/>
            <x v="1"/>
            <x v="3"/>
          </reference>
          <reference field="16" count="0" selected="0"/>
        </references>
      </pivotArea>
    </format>
    <format dxfId="332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331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330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329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328">
      <pivotArea dataOnly="0" labelOnly="1" fieldPosition="0">
        <references count="8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327">
      <pivotArea dataOnly="0" labelOnly="1" fieldPosition="0">
        <references count="8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>
            <x v="2"/>
          </reference>
          <reference field="16" count="0" selected="0"/>
        </references>
      </pivotArea>
    </format>
    <format dxfId="326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0"/>
          </reference>
          <reference field="8" count="2">
            <x v="0"/>
            <x v="1"/>
          </reference>
          <reference field="16" count="0" selected="0"/>
        </references>
      </pivotArea>
    </format>
    <format dxfId="32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3"/>
          </reference>
          <reference field="8" count="2">
            <x v="0"/>
            <x v="1"/>
          </reference>
          <reference field="16" count="0" selected="0"/>
        </references>
      </pivotArea>
    </format>
    <format dxfId="324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23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22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21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0"/>
          </reference>
          <reference field="8" count="2">
            <x v="5"/>
            <x v="6"/>
          </reference>
          <reference field="16" count="0" selected="0"/>
        </references>
      </pivotArea>
    </format>
    <format dxfId="320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2">
            <x v="5"/>
            <x v="6"/>
          </reference>
          <reference field="16" count="0" selected="0"/>
        </references>
      </pivotArea>
    </format>
    <format dxfId="319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3"/>
          </reference>
          <reference field="8" count="2">
            <x v="5"/>
            <x v="6"/>
          </reference>
          <reference field="16" count="0" selected="0"/>
        </references>
      </pivotArea>
    </format>
    <format dxfId="318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0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0" selected="0"/>
        </references>
      </pivotArea>
    </format>
    <format dxfId="317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2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0" selected="0"/>
        </references>
      </pivotArea>
    </format>
    <format dxfId="316">
      <pivotArea dataOnly="0" labelOnly="1" fieldPosition="0">
        <references count="9">
          <reference field="1" count="1" selected="0">
            <x v="0"/>
          </reference>
          <reference field="2" count="1" selected="0">
            <x v="3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3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16" count="0" selected="0"/>
        </references>
      </pivotArea>
    </format>
    <format dxfId="315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4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3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2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1">
      <pivotArea dataOnly="0" labelOnly="1" fieldPosition="0">
        <references count="9">
          <reference field="1" count="1" selected="0">
            <x v="1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7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10">
      <pivotArea dataOnly="0" labelOnly="1" fieldPosition="0">
        <references count="9">
          <reference field="1" count="1" selected="0">
            <x v="2"/>
          </reference>
          <reference field="2" count="1" selected="0">
            <x v="2"/>
          </reference>
          <reference field="3" count="1" selected="0">
            <x v="6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9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0"/>
          </reference>
          <reference field="8" count="0"/>
          <reference field="16" count="0" selected="0"/>
        </references>
      </pivotArea>
    </format>
    <format dxfId="308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16" count="0" selected="0"/>
        </references>
      </pivotArea>
    </format>
    <format dxfId="307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3"/>
          </reference>
          <reference field="8" count="0"/>
          <reference field="16" count="0" selected="0"/>
        </references>
      </pivotArea>
    </format>
    <format dxfId="306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5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1">
            <x v="0"/>
          </reference>
          <reference field="16" count="0" selected="0"/>
        </references>
      </pivotArea>
    </format>
    <format dxfId="304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3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3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4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2">
      <pivotArea dataOnly="0" labelOnly="1" fieldPosition="0">
        <references count="9">
          <reference field="1" count="1" selected="0">
            <x v="3"/>
          </reference>
          <reference field="2" count="1" selected="0">
            <x v="2"/>
          </reference>
          <reference field="3" count="1" selected="0">
            <x v="7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1">
      <pivotArea dataOnly="0" labelOnly="1" fieldPosition="0">
        <references count="9">
          <reference field="1" count="1" selected="0">
            <x v="4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 selected="0">
            <x v="2"/>
          </reference>
          <reference field="8" count="0"/>
          <reference field="16" count="0" selected="0"/>
        </references>
      </pivotArea>
    </format>
    <format dxfId="300">
      <pivotArea dataOnly="0" labelOnly="1" outline="0" fieldPosition="0">
        <references count="1">
          <reference field="4294967294" count="9">
            <x v="0"/>
            <x v="1"/>
            <x v="2"/>
            <x v="3"/>
            <x v="4"/>
            <x v="5"/>
            <x v="6"/>
            <x v="7"/>
            <x v="8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CF290B-A377-4DEC-BC2D-7E86FC20E406}" name="Subsidio Resumo" cacheId="26" applyNumberFormats="0" applyBorderFormats="0" applyFontFormats="0" applyPatternFormats="0" applyAlignmentFormats="0" applyWidthHeightFormats="1" dataCaption="Valores" updatedVersion="8" minRefreshableVersion="3" useAutoFormatting="1" rowGrandTotals="0" colGrandTotals="0" itemPrintTitles="1" createdVersion="5" indent="0" outline="1" outlineData="1" multipleFieldFilters="0">
  <location ref="A1:G183" firstHeaderRow="0" firstDataRow="1" firstDataCol="1"/>
  <pivotFields count="34">
    <pivotField showAll="0"/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4">
        <item x="0"/>
        <item x="2"/>
        <item x="1"/>
        <item t="default"/>
      </items>
    </pivotField>
    <pivotField axis="axisRow" numFmtId="14" showAll="0">
      <items count="13">
        <item x="0"/>
        <item x="1"/>
        <item x="4"/>
        <item x="5"/>
        <item x="6"/>
        <item x="2"/>
        <item x="3"/>
        <item x="7"/>
        <item x="8"/>
        <item x="9"/>
        <item x="10"/>
        <item x="11"/>
        <item t="default"/>
      </items>
    </pivotField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numFmtId="40" showAll="0"/>
    <pivotField showAll="0"/>
    <pivotField showAll="0"/>
    <pivotField showAll="0"/>
    <pivotField showAll="0"/>
    <pivotField showAll="0"/>
    <pivotField numFmtId="40" showAll="0"/>
    <pivotField numFmtId="40" showAll="0"/>
    <pivotField numFmtId="40" showAll="0"/>
    <pivotField showAll="0"/>
    <pivotField showAll="0"/>
    <pivotField showAll="0"/>
    <pivotField dataField="1" numFmtId="40" showAll="0"/>
    <pivotField dataField="1" numFmtId="40" showAll="0"/>
    <pivotField dataField="1" numFmtId="40" showAll="0"/>
    <pivotField dataField="1" numFmtId="40" showAll="0"/>
    <pivotField axis="axisRow" showAll="0">
      <items count="5">
        <item x="0"/>
        <item x="3"/>
        <item x="1"/>
        <item x="2"/>
        <item t="default"/>
      </items>
    </pivotField>
    <pivotField dataField="1" dragToRow="0" dragToCol="0" dragToPage="0" showAll="0" defaultSubtotal="0"/>
    <pivotField dataField="1" dragToRow="0" dragToCol="0" dragToPage="0" showAll="0" defaultSubtotal="0"/>
  </pivotFields>
  <rowFields count="9">
    <field x="31"/>
    <field x="1"/>
    <field x="2"/>
    <field x="3"/>
    <field x="4"/>
    <field x="5"/>
    <field x="6"/>
    <field x="7"/>
    <field x="8"/>
  </rowFields>
  <rowItems count="182">
    <i>
      <x/>
    </i>
    <i r="1">
      <x/>
    </i>
    <i r="2">
      <x/>
    </i>
    <i r="3">
      <x v="2"/>
    </i>
    <i r="4">
      <x/>
    </i>
    <i r="5">
      <x/>
    </i>
    <i r="6">
      <x/>
    </i>
    <i r="7">
      <x/>
    </i>
    <i r="8">
      <x/>
    </i>
    <i r="8">
      <x v="1"/>
    </i>
    <i r="7">
      <x v="2"/>
    </i>
    <i r="8">
      <x/>
    </i>
    <i r="8">
      <x v="1"/>
    </i>
    <i r="2">
      <x v="2"/>
    </i>
    <i r="3">
      <x v="2"/>
    </i>
    <i r="4">
      <x/>
    </i>
    <i r="5">
      <x/>
    </i>
    <i r="6">
      <x/>
    </i>
    <i r="7">
      <x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7">
      <x v="2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1">
      <x v="3"/>
    </i>
    <i r="2">
      <x v="1"/>
    </i>
    <i r="3">
      <x v="2"/>
    </i>
    <i r="4">
      <x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1"/>
    </i>
    <i r="1">
      <x v="1"/>
    </i>
    <i r="2">
      <x v="1"/>
    </i>
    <i r="3">
      <x/>
    </i>
    <i r="4">
      <x v="3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4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5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 r="4">
      <x v="6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2"/>
    </i>
    <i r="1">
      <x/>
    </i>
    <i r="2">
      <x v="2"/>
    </i>
    <i r="3">
      <x v="1"/>
    </i>
    <i r="4">
      <x v="1"/>
    </i>
    <i r="5">
      <x/>
    </i>
    <i r="6">
      <x/>
    </i>
    <i r="7">
      <x/>
    </i>
    <i r="8">
      <x v="5"/>
    </i>
    <i r="8">
      <x v="6"/>
    </i>
    <i r="7">
      <x v="1"/>
    </i>
    <i r="8">
      <x v="5"/>
    </i>
    <i r="8">
      <x v="6"/>
    </i>
    <i r="7">
      <x v="2"/>
    </i>
    <i r="8">
      <x v="5"/>
    </i>
    <i r="8">
      <x v="6"/>
    </i>
    <i r="1">
      <x v="2"/>
    </i>
    <i r="2">
      <x v="1"/>
    </i>
    <i r="3">
      <x v="1"/>
    </i>
    <i r="4">
      <x v="1"/>
    </i>
    <i r="5">
      <x/>
    </i>
    <i r="6">
      <x/>
    </i>
    <i r="7">
      <x v="1"/>
    </i>
    <i r="8">
      <x/>
    </i>
    <i r="8">
      <x v="1"/>
    </i>
    <i r="8">
      <x v="2"/>
    </i>
    <i r="8">
      <x v="3"/>
    </i>
    <i r="8">
      <x v="4"/>
    </i>
    <i r="8">
      <x v="5"/>
    </i>
    <i r="8">
      <x v="6"/>
    </i>
    <i r="8">
      <x v="7"/>
    </i>
    <i r="8">
      <x v="8"/>
    </i>
    <i r="8">
      <x v="9"/>
    </i>
    <i r="8">
      <x v="10"/>
    </i>
    <i r="8">
      <x v="11"/>
    </i>
    <i>
      <x v="3"/>
    </i>
    <i r="1">
      <x v="1"/>
    </i>
    <i r="2">
      <x v="1"/>
    </i>
    <i r="3">
      <x/>
    </i>
    <i r="4">
      <x v="2"/>
    </i>
    <i r="5">
      <x/>
    </i>
    <i r="6">
      <x/>
    </i>
    <i r="7">
      <x v="1"/>
    </i>
    <i r="8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oma de SUBSIDIO kW - TV" fld="27" baseField="0" baseItem="0"/>
    <dataField name="Soma de SUBSIDIO MWh - TV" fld="28" baseField="0" baseItem="0"/>
    <dataField name="Soma de SUBSIDIO kW - TN" fld="29" baseField="0" baseItem="0"/>
    <dataField name="Soma de SUBSIDIO MWh - TN" fld="30" baseField="0" baseItem="0"/>
    <dataField name="Soma de TOTAL TV" fld="32" baseField="0" baseItem="0" numFmtId="40"/>
    <dataField name="Soma de TOTAL TN" fld="33" baseField="0" baseItem="0" numFmtId="40"/>
  </dataFields>
  <formats count="150">
    <format dxfId="299">
      <pivotArea outline="0" collapsedLevelsAreSubtotals="1" fieldPosition="0"/>
    </format>
    <format dxfId="298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97">
      <pivotArea type="all" dataOnly="0" outline="0" fieldPosition="0"/>
    </format>
    <format dxfId="296">
      <pivotArea outline="0" collapsedLevelsAreSubtotals="1" fieldPosition="0"/>
    </format>
    <format dxfId="295">
      <pivotArea field="31" type="button" dataOnly="0" labelOnly="1" outline="0" axis="axisRow" fieldPosition="0"/>
    </format>
    <format dxfId="294">
      <pivotArea dataOnly="0" labelOnly="1" fieldPosition="0">
        <references count="1">
          <reference field="31" count="0"/>
        </references>
      </pivotArea>
    </format>
    <format dxfId="293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292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91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2"/>
          </reference>
        </references>
      </pivotArea>
    </format>
    <format dxfId="290">
      <pivotArea dataOnly="0" labelOnly="1" fieldPosition="0">
        <references count="2">
          <reference field="1" count="1">
            <x v="1"/>
          </reference>
          <reference field="31" count="1" selected="0">
            <x v="3"/>
          </reference>
        </references>
      </pivotArea>
    </format>
    <format dxfId="289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2"/>
          </reference>
          <reference field="31" count="1" selected="0">
            <x v="0"/>
          </reference>
        </references>
      </pivotArea>
    </format>
    <format dxfId="288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87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286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2"/>
          </reference>
        </references>
      </pivotArea>
    </format>
    <format dxfId="285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284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83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82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81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80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279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78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77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3"/>
          </reference>
        </references>
      </pivotArea>
    </format>
    <format dxfId="276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75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74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73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4">
            <x v="3"/>
            <x v="4"/>
            <x v="5"/>
            <x v="6"/>
          </reference>
          <reference field="31" count="1" selected="0">
            <x v="1"/>
          </reference>
        </references>
      </pivotArea>
    </format>
    <format dxfId="272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1"/>
          </reference>
          <reference field="31" count="1" selected="0">
            <x v="2"/>
          </reference>
        </references>
      </pivotArea>
    </format>
    <format dxfId="271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1"/>
          </reference>
          <reference field="31" count="1" selected="0">
            <x v="2"/>
          </reference>
        </references>
      </pivotArea>
    </format>
    <format dxfId="270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"/>
          </reference>
          <reference field="31" count="1" selected="0">
            <x v="3"/>
          </reference>
        </references>
      </pivotArea>
    </format>
    <format dxfId="269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0"/>
          <reference field="31" count="1" selected="0">
            <x v="0"/>
          </reference>
        </references>
      </pivotArea>
    </format>
    <format dxfId="26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0"/>
          <reference field="31" count="1" selected="0">
            <x v="0"/>
          </reference>
        </references>
      </pivotArea>
    </format>
    <format dxfId="267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/>
          <reference field="31" count="1" selected="0">
            <x v="0"/>
          </reference>
        </references>
      </pivotArea>
    </format>
    <format dxfId="26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/>
          <reference field="31" count="1" selected="0">
            <x v="1"/>
          </reference>
        </references>
      </pivotArea>
    </format>
    <format dxfId="265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0"/>
          <reference field="31" count="1" selected="0">
            <x v="1"/>
          </reference>
        </references>
      </pivotArea>
    </format>
    <format dxfId="264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0"/>
          <reference field="31" count="1" selected="0">
            <x v="1"/>
          </reference>
        </references>
      </pivotArea>
    </format>
    <format dxfId="263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0"/>
          <reference field="31" count="1" selected="0">
            <x v="1"/>
          </reference>
        </references>
      </pivotArea>
    </format>
    <format dxfId="262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"/>
          </reference>
          <reference field="5" count="0"/>
          <reference field="31" count="1" selected="0">
            <x v="2"/>
          </reference>
        </references>
      </pivotArea>
    </format>
    <format dxfId="261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0"/>
          <reference field="31" count="1" selected="0">
            <x v="2"/>
          </reference>
        </references>
      </pivotArea>
    </format>
    <format dxfId="26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0"/>
          <reference field="31" count="1" selected="0">
            <x v="3"/>
          </reference>
        </references>
      </pivotArea>
    </format>
    <format dxfId="259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/>
          <reference field="31" count="1" selected="0">
            <x v="0"/>
          </reference>
        </references>
      </pivotArea>
    </format>
    <format dxfId="25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/>
          <reference field="31" count="1" selected="0">
            <x v="0"/>
          </reference>
        </references>
      </pivotArea>
    </format>
    <format dxfId="257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/>
          <reference field="31" count="1" selected="0">
            <x v="0"/>
          </reference>
        </references>
      </pivotArea>
    </format>
    <format dxfId="25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255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254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253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252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/>
          <reference field="31" count="1" selected="0">
            <x v="2"/>
          </reference>
        </references>
      </pivotArea>
    </format>
    <format dxfId="251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/>
          <reference field="31" count="1" selected="0">
            <x v="2"/>
          </reference>
        </references>
      </pivotArea>
    </format>
    <format dxfId="25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/>
          <reference field="31" count="1" selected="0">
            <x v="3"/>
          </reference>
        </references>
      </pivotArea>
    </format>
    <format dxfId="249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2">
            <x v="0"/>
            <x v="2"/>
          </reference>
          <reference field="31" count="1" selected="0">
            <x v="0"/>
          </reference>
        </references>
      </pivotArea>
    </format>
    <format dxfId="24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0"/>
          <reference field="31" count="1" selected="0">
            <x v="0"/>
          </reference>
        </references>
      </pivotArea>
    </format>
    <format dxfId="247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24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45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44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43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242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0"/>
          <reference field="31" count="1" selected="0">
            <x v="2"/>
          </reference>
        </references>
      </pivotArea>
    </format>
    <format dxfId="241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24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239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0"/>
          </reference>
          <reference field="8" count="2">
            <x v="0"/>
            <x v="1"/>
          </reference>
          <reference field="31" count="1" selected="0">
            <x v="0"/>
          </reference>
        </references>
      </pivotArea>
    </format>
    <format dxfId="238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2"/>
          </reference>
          <reference field="8" count="2">
            <x v="0"/>
            <x v="1"/>
          </reference>
          <reference field="31" count="1" selected="0">
            <x v="0"/>
          </reference>
        </references>
      </pivotArea>
    </format>
    <format dxfId="23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0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0"/>
          </reference>
        </references>
      </pivotArea>
    </format>
    <format dxfId="236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1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0"/>
          </reference>
        </references>
      </pivotArea>
    </format>
    <format dxfId="23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2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0"/>
          </reference>
        </references>
      </pivotArea>
    </format>
    <format dxfId="234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233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32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3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30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229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 selected="0">
            <x v="0"/>
          </reference>
          <reference field="8" count="2">
            <x v="5"/>
            <x v="6"/>
          </reference>
          <reference field="31" count="1" selected="0">
            <x v="2"/>
          </reference>
        </references>
      </pivotArea>
    </format>
    <format dxfId="228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 selected="0">
            <x v="1"/>
          </reference>
          <reference field="8" count="2">
            <x v="5"/>
            <x v="6"/>
          </reference>
          <reference field="31" count="1" selected="0">
            <x v="2"/>
          </reference>
        </references>
      </pivotArea>
    </format>
    <format dxfId="227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 selected="0">
            <x v="2"/>
          </reference>
          <reference field="8" count="2">
            <x v="5"/>
            <x v="6"/>
          </reference>
          <reference field="31" count="1" selected="0">
            <x v="2"/>
          </reference>
        </references>
      </pivotArea>
    </format>
    <format dxfId="226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225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3"/>
          </reference>
        </references>
      </pivotArea>
    </format>
    <format dxfId="224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  <format dxfId="223">
      <pivotArea type="all" dataOnly="0" outline="0" fieldPosition="0"/>
    </format>
    <format dxfId="222">
      <pivotArea outline="0" collapsedLevelsAreSubtotals="1" fieldPosition="0"/>
    </format>
    <format dxfId="221">
      <pivotArea field="31" type="button" dataOnly="0" labelOnly="1" outline="0" axis="axisRow" fieldPosition="0"/>
    </format>
    <format dxfId="220">
      <pivotArea dataOnly="0" labelOnly="1" fieldPosition="0">
        <references count="1">
          <reference field="31" count="0"/>
        </references>
      </pivotArea>
    </format>
    <format dxfId="219">
      <pivotArea dataOnly="0" labelOnly="1" fieldPosition="0">
        <references count="2">
          <reference field="1" count="2">
            <x v="0"/>
            <x v="3"/>
          </reference>
          <reference field="31" count="1" selected="0">
            <x v="0"/>
          </reference>
        </references>
      </pivotArea>
    </format>
    <format dxfId="218">
      <pivotArea dataOnly="0" labelOnly="1" fieldPosition="0">
        <references count="2">
          <reference field="1" count="1">
            <x v="1"/>
          </reference>
          <reference field="31" count="1" selected="0">
            <x v="1"/>
          </reference>
        </references>
      </pivotArea>
    </format>
    <format dxfId="217">
      <pivotArea dataOnly="0" labelOnly="1" fieldPosition="0">
        <references count="2">
          <reference field="1" count="2">
            <x v="0"/>
            <x v="2"/>
          </reference>
          <reference field="31" count="1" selected="0">
            <x v="2"/>
          </reference>
        </references>
      </pivotArea>
    </format>
    <format dxfId="216">
      <pivotArea dataOnly="0" labelOnly="1" fieldPosition="0">
        <references count="2">
          <reference field="1" count="1">
            <x v="1"/>
          </reference>
          <reference field="31" count="1" selected="0">
            <x v="3"/>
          </reference>
        </references>
      </pivotArea>
    </format>
    <format dxfId="215">
      <pivotArea dataOnly="0" labelOnly="1" fieldPosition="0">
        <references count="3">
          <reference field="1" count="1" selected="0">
            <x v="0"/>
          </reference>
          <reference field="2" count="2">
            <x v="0"/>
            <x v="2"/>
          </reference>
          <reference field="31" count="1" selected="0">
            <x v="0"/>
          </reference>
        </references>
      </pivotArea>
    </format>
    <format dxfId="214">
      <pivotArea dataOnly="0" labelOnly="1" fieldPosition="0">
        <references count="3">
          <reference field="1" count="1" selected="0">
            <x v="3"/>
          </reference>
          <reference field="2" count="1">
            <x v="1"/>
          </reference>
          <reference field="31" count="1" selected="0">
            <x v="0"/>
          </reference>
        </references>
      </pivotArea>
    </format>
    <format dxfId="213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1"/>
          </reference>
        </references>
      </pivotArea>
    </format>
    <format dxfId="212">
      <pivotArea dataOnly="0" labelOnly="1" fieldPosition="0">
        <references count="3">
          <reference field="1" count="1" selected="0">
            <x v="0"/>
          </reference>
          <reference field="2" count="1">
            <x v="2"/>
          </reference>
          <reference field="31" count="1" selected="0">
            <x v="2"/>
          </reference>
        </references>
      </pivotArea>
    </format>
    <format dxfId="211">
      <pivotArea dataOnly="0" labelOnly="1" fieldPosition="0">
        <references count="3">
          <reference field="1" count="1" selected="0">
            <x v="2"/>
          </reference>
          <reference field="2" count="1">
            <x v="1"/>
          </reference>
          <reference field="31" count="1" selected="0">
            <x v="2"/>
          </reference>
        </references>
      </pivotArea>
    </format>
    <format dxfId="210">
      <pivotArea dataOnly="0" labelOnly="1" fieldPosition="0">
        <references count="3">
          <reference field="1" count="1" selected="0">
            <x v="1"/>
          </reference>
          <reference field="2" count="1">
            <x v="1"/>
          </reference>
          <reference field="31" count="1" selected="0">
            <x v="3"/>
          </reference>
        </references>
      </pivotArea>
    </format>
    <format dxfId="209">
      <pivotArea dataOnly="0" labelOnly="1" fieldPosition="0">
        <references count="4">
          <reference field="1" count="1" selected="0">
            <x v="0"/>
          </reference>
          <reference field="2" count="1" selected="0">
            <x v="0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08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07">
      <pivotArea dataOnly="0" labelOnly="1" fieldPosition="0">
        <references count="4">
          <reference field="1" count="1" selected="0">
            <x v="3"/>
          </reference>
          <reference field="2" count="1" selected="0">
            <x v="1"/>
          </reference>
          <reference field="3" count="1">
            <x v="2"/>
          </reference>
          <reference field="31" count="1" selected="0">
            <x v="0"/>
          </reference>
        </references>
      </pivotArea>
    </format>
    <format dxfId="206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1"/>
          </reference>
        </references>
      </pivotArea>
    </format>
    <format dxfId="205">
      <pivotArea dataOnly="0" labelOnly="1" fieldPosition="0">
        <references count="4">
          <reference field="1" count="1" selected="0">
            <x v="0"/>
          </reference>
          <reference field="2" count="1" selected="0">
            <x v="2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04">
      <pivotArea dataOnly="0" labelOnly="1" fieldPosition="0">
        <references count="4">
          <reference field="1" count="1" selected="0">
            <x v="2"/>
          </reference>
          <reference field="2" count="1" selected="0">
            <x v="1"/>
          </reference>
          <reference field="3" count="1">
            <x v="1"/>
          </reference>
          <reference field="31" count="1" selected="0">
            <x v="2"/>
          </reference>
        </references>
      </pivotArea>
    </format>
    <format dxfId="203">
      <pivotArea dataOnly="0" labelOnly="1" fieldPosition="0">
        <references count="4">
          <reference field="1" count="1" selected="0">
            <x v="1"/>
          </reference>
          <reference field="2" count="1" selected="0">
            <x v="1"/>
          </reference>
          <reference field="3" count="1">
            <x v="0"/>
          </reference>
          <reference field="31" count="1" selected="0">
            <x v="3"/>
          </reference>
        </references>
      </pivotArea>
    </format>
    <format dxfId="202">
      <pivotArea dataOnly="0" labelOnly="1" fieldPosition="0">
        <references count="5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01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200">
      <pivotArea dataOnly="0" labelOnly="1" fieldPosition="0">
        <references count="5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>
            <x v="0"/>
          </reference>
          <reference field="31" count="1" selected="0">
            <x v="0"/>
          </reference>
        </references>
      </pivotArea>
    </format>
    <format dxfId="199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4">
            <x v="3"/>
            <x v="4"/>
            <x v="5"/>
            <x v="6"/>
          </reference>
          <reference field="31" count="1" selected="0">
            <x v="1"/>
          </reference>
        </references>
      </pivotArea>
    </format>
    <format dxfId="198">
      <pivotArea dataOnly="0" labelOnly="1" fieldPosition="0">
        <references count="5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>
            <x v="1"/>
          </reference>
          <reference field="31" count="1" selected="0">
            <x v="2"/>
          </reference>
        </references>
      </pivotArea>
    </format>
    <format dxfId="197">
      <pivotArea dataOnly="0" labelOnly="1" fieldPosition="0">
        <references count="5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>
            <x v="1"/>
          </reference>
          <reference field="31" count="1" selected="0">
            <x v="2"/>
          </reference>
        </references>
      </pivotArea>
    </format>
    <format dxfId="196">
      <pivotArea dataOnly="0" labelOnly="1" fieldPosition="0">
        <references count="5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>
            <x v="2"/>
          </reference>
          <reference field="31" count="1" selected="0">
            <x v="3"/>
          </reference>
        </references>
      </pivotArea>
    </format>
    <format dxfId="195">
      <pivotArea dataOnly="0" labelOnly="1" fieldPosition="0">
        <references count="6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0"/>
          <reference field="31" count="1" selected="0">
            <x v="0"/>
          </reference>
        </references>
      </pivotArea>
    </format>
    <format dxfId="194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0"/>
          <reference field="31" count="1" selected="0">
            <x v="0"/>
          </reference>
        </references>
      </pivotArea>
    </format>
    <format dxfId="193">
      <pivotArea dataOnly="0" labelOnly="1" fieldPosition="0">
        <references count="6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/>
          <reference field="31" count="1" selected="0">
            <x v="0"/>
          </reference>
        </references>
      </pivotArea>
    </format>
    <format dxfId="192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/>
          <reference field="31" count="1" selected="0">
            <x v="1"/>
          </reference>
        </references>
      </pivotArea>
    </format>
    <format dxfId="191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0"/>
          <reference field="31" count="1" selected="0">
            <x v="1"/>
          </reference>
        </references>
      </pivotArea>
    </format>
    <format dxfId="190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0"/>
          <reference field="31" count="1" selected="0">
            <x v="1"/>
          </reference>
        </references>
      </pivotArea>
    </format>
    <format dxfId="189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0"/>
          <reference field="31" count="1" selected="0">
            <x v="1"/>
          </reference>
        </references>
      </pivotArea>
    </format>
    <format dxfId="188">
      <pivotArea dataOnly="0" labelOnly="1" fieldPosition="0">
        <references count="6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"/>
          </reference>
          <reference field="5" count="0"/>
          <reference field="31" count="1" selected="0">
            <x v="2"/>
          </reference>
        </references>
      </pivotArea>
    </format>
    <format dxfId="187">
      <pivotArea dataOnly="0" labelOnly="1" fieldPosition="0">
        <references count="6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0"/>
          <reference field="31" count="1" selected="0">
            <x v="2"/>
          </reference>
        </references>
      </pivotArea>
    </format>
    <format dxfId="186">
      <pivotArea dataOnly="0" labelOnly="1" fieldPosition="0">
        <references count="6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0"/>
          <reference field="31" count="1" selected="0">
            <x v="3"/>
          </reference>
        </references>
      </pivotArea>
    </format>
    <format dxfId="185">
      <pivotArea dataOnly="0" labelOnly="1" fieldPosition="0">
        <references count="7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/>
          <reference field="31" count="1" selected="0">
            <x v="0"/>
          </reference>
        </references>
      </pivotArea>
    </format>
    <format dxfId="184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/>
          <reference field="31" count="1" selected="0">
            <x v="0"/>
          </reference>
        </references>
      </pivotArea>
    </format>
    <format dxfId="183">
      <pivotArea dataOnly="0" labelOnly="1" fieldPosition="0">
        <references count="7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/>
          <reference field="31" count="1" selected="0">
            <x v="0"/>
          </reference>
        </references>
      </pivotArea>
    </format>
    <format dxfId="182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181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180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179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0" selected="0"/>
          <reference field="6" count="0"/>
          <reference field="31" count="1" selected="0">
            <x v="1"/>
          </reference>
        </references>
      </pivotArea>
    </format>
    <format dxfId="178">
      <pivotArea dataOnly="0" labelOnly="1" fieldPosition="0">
        <references count="7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/>
          <reference field="31" count="1" selected="0">
            <x v="2"/>
          </reference>
        </references>
      </pivotArea>
    </format>
    <format dxfId="177">
      <pivotArea dataOnly="0" labelOnly="1" fieldPosition="0">
        <references count="7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/>
          <reference field="31" count="1" selected="0">
            <x v="2"/>
          </reference>
        </references>
      </pivotArea>
    </format>
    <format dxfId="176">
      <pivotArea dataOnly="0" labelOnly="1" fieldPosition="0">
        <references count="7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/>
          <reference field="31" count="1" selected="0">
            <x v="3"/>
          </reference>
        </references>
      </pivotArea>
    </format>
    <format dxfId="175">
      <pivotArea dataOnly="0" labelOnly="1" fieldPosition="0">
        <references count="8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2">
            <x v="0"/>
            <x v="2"/>
          </reference>
          <reference field="31" count="1" selected="0">
            <x v="0"/>
          </reference>
        </references>
      </pivotArea>
    </format>
    <format dxfId="174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0"/>
          <reference field="31" count="1" selected="0">
            <x v="0"/>
          </reference>
        </references>
      </pivotArea>
    </format>
    <format dxfId="173">
      <pivotArea dataOnly="0" labelOnly="1" fieldPosition="0">
        <references count="8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0"/>
          </reference>
        </references>
      </pivotArea>
    </format>
    <format dxfId="172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1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70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9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1"/>
          </reference>
        </references>
      </pivotArea>
    </format>
    <format dxfId="168">
      <pivotArea dataOnly="0" labelOnly="1" fieldPosition="0">
        <references count="8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0"/>
          <reference field="31" count="1" selected="0">
            <x v="2"/>
          </reference>
        </references>
      </pivotArea>
    </format>
    <format dxfId="167">
      <pivotArea dataOnly="0" labelOnly="1" fieldPosition="0">
        <references count="8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2"/>
          </reference>
        </references>
      </pivotArea>
    </format>
    <format dxfId="166">
      <pivotArea dataOnly="0" labelOnly="1" fieldPosition="0">
        <references count="8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>
            <x v="1"/>
          </reference>
          <reference field="31" count="1" selected="0">
            <x v="3"/>
          </reference>
        </references>
      </pivotArea>
    </format>
    <format dxfId="165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0"/>
          </reference>
          <reference field="8" count="2">
            <x v="0"/>
            <x v="1"/>
          </reference>
          <reference field="31" count="1" selected="0">
            <x v="0"/>
          </reference>
        </references>
      </pivotArea>
    </format>
    <format dxfId="164">
      <pivotArea dataOnly="0" labelOnly="1" fieldPosition="0">
        <references count="9">
          <reference field="1" count="1" selected="0">
            <x v="0"/>
          </reference>
          <reference field="2" count="1" selected="0">
            <x v="0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2"/>
          </reference>
          <reference field="8" count="2">
            <x v="0"/>
            <x v="1"/>
          </reference>
          <reference field="31" count="1" selected="0">
            <x v="0"/>
          </reference>
        </references>
      </pivotArea>
    </format>
    <format dxfId="16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0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0"/>
          </reference>
        </references>
      </pivotArea>
    </format>
    <format dxfId="162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1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0"/>
          </reference>
        </references>
      </pivotArea>
    </format>
    <format dxfId="161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2"/>
          </reference>
          <reference field="8" count="10">
            <x v="2"/>
            <x v="3"/>
            <x v="4"/>
            <x v="5"/>
            <x v="6"/>
            <x v="7"/>
            <x v="8"/>
            <x v="9"/>
            <x v="10"/>
            <x v="11"/>
          </reference>
          <reference field="31" count="1" selected="0">
            <x v="0"/>
          </reference>
        </references>
      </pivotArea>
    </format>
    <format dxfId="160">
      <pivotArea dataOnly="0" labelOnly="1" fieldPosition="0">
        <references count="9">
          <reference field="1" count="1" selected="0">
            <x v="3"/>
          </reference>
          <reference field="2" count="1" selected="0">
            <x v="1"/>
          </reference>
          <reference field="3" count="1" selected="0">
            <x v="2"/>
          </reference>
          <reference field="4" count="1" selected="0">
            <x v="0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0"/>
          </reference>
        </references>
      </pivotArea>
    </format>
    <format dxfId="159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3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8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4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7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5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6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6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1"/>
          </reference>
        </references>
      </pivotArea>
    </format>
    <format dxfId="155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 selected="0">
            <x v="0"/>
          </reference>
          <reference field="8" count="2">
            <x v="5"/>
            <x v="6"/>
          </reference>
          <reference field="31" count="1" selected="0">
            <x v="2"/>
          </reference>
        </references>
      </pivotArea>
    </format>
    <format dxfId="154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 selected="0">
            <x v="1"/>
          </reference>
          <reference field="8" count="2">
            <x v="5"/>
            <x v="6"/>
          </reference>
          <reference field="31" count="1" selected="0">
            <x v="2"/>
          </reference>
        </references>
      </pivotArea>
    </format>
    <format dxfId="153">
      <pivotArea dataOnly="0" labelOnly="1" fieldPosition="0">
        <references count="9">
          <reference field="1" count="1" selected="0">
            <x v="0"/>
          </reference>
          <reference field="2" count="1" selected="0">
            <x v="2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 selected="0">
            <x v="2"/>
          </reference>
          <reference field="8" count="2">
            <x v="5"/>
            <x v="6"/>
          </reference>
          <reference field="31" count="1" selected="0">
            <x v="2"/>
          </reference>
        </references>
      </pivotArea>
    </format>
    <format dxfId="152">
      <pivotArea dataOnly="0" labelOnly="1" fieldPosition="0">
        <references count="9">
          <reference field="1" count="1" selected="0">
            <x v="2"/>
          </reference>
          <reference field="2" count="1" selected="0">
            <x v="1"/>
          </reference>
          <reference field="3" count="1" selected="0">
            <x v="1"/>
          </reference>
          <reference field="4" count="1" selected="0">
            <x v="1"/>
          </reference>
          <reference field="5" count="0" selected="0"/>
          <reference field="6" count="0" selected="0"/>
          <reference field="7" count="1" selected="0">
            <x v="1"/>
          </reference>
          <reference field="8" count="0"/>
          <reference field="31" count="1" selected="0">
            <x v="2"/>
          </reference>
        </references>
      </pivotArea>
    </format>
    <format dxfId="151">
      <pivotArea dataOnly="0" labelOnly="1" fieldPosition="0">
        <references count="9">
          <reference field="1" count="1" selected="0">
            <x v="1"/>
          </reference>
          <reference field="2" count="1" selected="0">
            <x v="1"/>
          </reference>
          <reference field="3" count="1" selected="0">
            <x v="0"/>
          </reference>
          <reference field="4" count="1" selected="0">
            <x v="2"/>
          </reference>
          <reference field="5" count="0" selected="0"/>
          <reference field="6" count="0" selected="0"/>
          <reference field="7" count="1" selected="0">
            <x v="1"/>
          </reference>
          <reference field="8" count="1">
            <x v="0"/>
          </reference>
          <reference field="31" count="1" selected="0">
            <x v="3"/>
          </reference>
        </references>
      </pivotArea>
    </format>
    <format dxfId="150">
      <pivotArea dataOnly="0" labelOnly="1" outline="0" fieldPosition="0">
        <references count="1">
          <reference field="4294967294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Medium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DAC22CC-DB4F-46B4-9FE6-EC3DFCC9D003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DC3412A9-54F1-4A01-81D3-963BC09734BC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C65B8C77-D0C9-411B-A514-94B8991A1BCD}" autoFormatId="0" applyNumberFormats="0" applyBorderFormats="0" applyFontFormats="1" applyPatternFormats="1" applyAlignmentFormats="0" applyWidthHeightFormats="0">
  <queryTableRefresh nextId="46">
    <queryTableFields count="45">
      <queryTableField id="1" name="SUBGRUPO" tableColumnId="46"/>
      <queryTableField id="2" name="MODALIDADE" tableColumnId="47"/>
      <queryTableField id="3" name="CLASSE" tableColumnId="48"/>
      <queryTableField id="4" name="SUBCLASSE" tableColumnId="49"/>
      <queryTableField id="5" name="DETALHE" tableColumnId="50"/>
      <queryTableField id="6" name="POSTO" tableColumnId="51"/>
      <queryTableField id="7" name="UNIDADE" tableColumnId="52"/>
      <queryTableField id="8" name="ACESSANTE" tableColumnId="53"/>
      <queryTableField id="9" name="Total TUSD" tableColumnId="54"/>
      <queryTableField id="10" name="Total TE" tableColumnId="55"/>
      <queryTableField id="11" name="TUSD_CDE_COVID" tableColumnId="56"/>
      <queryTableField id="12" name="TUSD_TFSEE" tableColumnId="57"/>
      <queryTableField id="13" name="TUSD_PeD" tableColumnId="58"/>
      <queryTableField id="14" name="TUSD_ONS" tableColumnId="59"/>
      <queryTableField id="15" name="TUSD_CCC" tableColumnId="60"/>
      <queryTableField id="16" name="TUSD_CDE" tableColumnId="61"/>
      <queryTableField id="17" name="TUSD_PROINFA" tableColumnId="62"/>
      <queryTableField id="18" name="Liminar1" tableColumnId="63"/>
      <queryTableField id="19" name="TUSD_RB" tableColumnId="64"/>
      <queryTableField id="20" name="TUSD_FR" tableColumnId="65"/>
      <queryTableField id="21" name="TUSD_CCT" tableColumnId="66"/>
      <queryTableField id="22" name="TUSD_CCD" tableColumnId="67"/>
      <queryTableField id="23" name="TUSD_CUSD" tableColumnId="68"/>
      <queryTableField id="24" name="TUSDG_T" tableColumnId="69"/>
      <queryTableField id="25" name="TUSDG_ONS" tableColumnId="70"/>
      <queryTableField id="26" name="TUSD_FioB" tableColumnId="71"/>
      <queryTableField id="27" name="TUSD Subsidio" tableColumnId="72"/>
      <queryTableField id="28" name="TUSD BENEFICIO_L14299" tableColumnId="73"/>
      <queryTableField id="29" name="TUSD Outros" tableColumnId="74"/>
      <queryTableField id="30" name="TUSD_PT" tableColumnId="75"/>
      <queryTableField id="31" name="TUSD_Per_RB_D" tableColumnId="76"/>
      <queryTableField id="32" name="TUSD_PNT" tableColumnId="77"/>
      <queryTableField id="33" name="TUSD_RI" tableColumnId="78"/>
      <queryTableField id="34" name="TE_CDE_COVID" tableColumnId="79"/>
      <queryTableField id="35" name="TE_CDE_ELET" tableColumnId="80"/>
      <queryTableField id="36" name="TE_PeD" tableColumnId="81"/>
      <queryTableField id="37" name="TE_ESSERR" tableColumnId="82"/>
      <queryTableField id="38" name="TE_CFURH" tableColumnId="83"/>
      <queryTableField id="39" name="TE_ENERGIA" tableColumnId="84"/>
      <queryTableField id="40" name="TE_TRANSPORTE_ITAIPU" tableColumnId="85"/>
      <queryTableField id="41" name="TE_TUST_ITAIPU" tableColumnId="86"/>
      <queryTableField id="42" name="TE_TUST_CI" tableColumnId="87"/>
      <queryTableField id="43" name="TE Subsidio" tableColumnId="88"/>
      <queryTableField id="44" name="TE BENEFICIO_L14299" tableColumnId="89"/>
      <queryTableField id="45" name="TE_Per_RB" tableColumnId="9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CEA60C-3F98-48AC-842A-1A8CDA42FE1E}" name="Efeito" displayName="Efeito" ref="A1:AG352" totalsRowShown="0" headerRowDxfId="588" dataDxfId="587">
  <autoFilter ref="A1:AG352" xr:uid="{94CEA60C-3F98-48AC-842A-1A8CDA42FE1E}"/>
  <tableColumns count="33">
    <tableColumn id="1" xr3:uid="{861B74A4-4342-45A2-AA83-6694887A52AC}" name="TipoMercado" dataDxfId="586"/>
    <tableColumn id="2" xr3:uid="{6B87CDAA-CF05-4B57-83BA-16F6FC484324}" name="Subgrupo" dataDxfId="585"/>
    <tableColumn id="3" xr3:uid="{D0326137-2C7F-49BD-A768-84BD81748238}" name="Modalidade" dataDxfId="584"/>
    <tableColumn id="4" xr3:uid="{4A77CD7E-F7DC-4E6D-9789-37FB5AA1069C}" name="Classe" dataDxfId="583"/>
    <tableColumn id="5" xr3:uid="{BCE814F0-F940-49B7-B675-45A9CCABB70B}" name="Subclasse" dataDxfId="582"/>
    <tableColumn id="6" xr3:uid="{D43D4592-BE8B-45FF-988B-0C7FAD60F57D}" name="Detalhe" dataDxfId="581"/>
    <tableColumn id="7" xr3:uid="{B2386931-40F7-4268-B46D-ED9012334C8F}" name="Agente" dataDxfId="580"/>
    <tableColumn id="8" xr3:uid="{8D8BB66F-A5F7-4B2E-851B-EE67655CCF13}" name="Posto" dataDxfId="579"/>
    <tableColumn id="9" xr3:uid="{E2A00C08-5CB6-4A4B-AB2B-F78D80CE9BCF}" name="AnoMes" dataDxfId="578"/>
    <tableColumn id="10" xr3:uid="{8A1ED5A3-1F42-469E-88E8-BBB0A896E5BA}" name="D" dataDxfId="577"/>
    <tableColumn id="11" xr3:uid="{8E2663B9-2B15-4D75-ACC7-74F742B7B5FF}" name="Daj" dataDxfId="576"/>
    <tableColumn id="12" xr3:uid="{370201FE-5A7E-49FE-99FF-AB63F0676BBF}" name="TUSD_E" dataDxfId="575"/>
    <tableColumn id="13" xr3:uid="{EF773A68-FF30-445D-9D07-D4ADB0038A62}" name="TUSD_Eaj" dataDxfId="574"/>
    <tableColumn id="14" xr3:uid="{BFBD3E3F-2406-45A6-A2F5-7783611D7FF0}" name="TE_E" dataDxfId="573"/>
    <tableColumn id="15" xr3:uid="{D7318BBB-9C66-45DF-A44E-A9AACF550067}" name="TE_Eaj" dataDxfId="572"/>
    <tableColumn id="16" xr3:uid="{8810DB95-B50B-42E9-8768-93338BF992B1}" name="UC" dataDxfId="571"/>
    <tableColumn id="17" xr3:uid="{4DA3C907-1727-4698-A291-58A9F48B31AB}" name="OPÇÃO" dataDxfId="570"/>
    <tableColumn id="18" xr3:uid="{4DDFF2A8-7DD5-4F78-B301-6D25BA5000E9}" name="CóD. AUX." dataDxfId="569"/>
    <tableColumn id="19" xr3:uid="{AF7B4D61-81EA-4C02-A240-2B6C063D19FC}" name="CóD. AUX. TUSD R$/kW" dataDxfId="568"/>
    <tableColumn id="20" xr3:uid="{94A1D9B4-AFAE-49F9-B9A0-CF92E3A3A073}" name="CóD. AUX. TUSD R$/MWh" dataDxfId="567"/>
    <tableColumn id="21" xr3:uid="{CE7DC00A-5F45-4DED-B4E4-58FA9A6FB459}" name="CóD. AUX. TE R$/MWh" dataDxfId="566"/>
    <tableColumn id="22" xr3:uid="{97FCE80B-7196-4733-96AF-2FA737D68556}" name="TUSD (R$/kW)" dataDxfId="565"/>
    <tableColumn id="23" xr3:uid="{5F974803-A04C-42DF-9279-1D2F899C21EE}" name="TUSD (R$/MWh)" dataDxfId="564"/>
    <tableColumn id="24" xr3:uid="{815E7A2A-1530-4FAE-AC2C-1DFB36C65757}" name="TE (R$/MWh)" dataDxfId="563"/>
    <tableColumn id="25" xr3:uid="{69108541-EA7B-44A8-98B3-AB9CBC47682F}" name="TUSD (R$/kW) NOVA" dataDxfId="562"/>
    <tableColumn id="26" xr3:uid="{D747AA48-1723-4E9D-BA24-28C6805B84D1}" name="TUSD (R$/MWh) NOVA" dataDxfId="561">
      <calculatedColumnFormula>('TUSD BE'!$AM$50+'TUSD BF'!$AM$50+'TUSD CVA'!$AM$50)*1</calculatedColumnFormula>
    </tableColumn>
    <tableColumn id="27" xr3:uid="{74BACB77-CA78-4DDF-B34D-99D909162AB1}" name="TE (R$/MWh) NOVA" dataDxfId="560">
      <calculatedColumnFormula>('TE BE'!$AB$40+'TE BF'!$AB$40+'TE CVA'!$AB$40)*1</calculatedColumnFormula>
    </tableColumn>
    <tableColumn id="28" xr3:uid="{0EBA1AAB-212A-4374-BB96-53020B46811F}" name="RA0 ou RV - TUSD (kW)" dataDxfId="559"/>
    <tableColumn id="29" xr3:uid="{168248E1-0FC2-4607-AB7B-182AB3D6B71A}" name="RA0 ou RV - TUSD (MWh)" dataDxfId="558"/>
    <tableColumn id="30" xr3:uid="{9A482E02-FC8A-4D93-958C-66B8B30EA6EE}" name="RA0 ou RV - TE (MWh)" dataDxfId="557"/>
    <tableColumn id="31" xr3:uid="{C9233034-5002-4CE0-B715-08C1A5F2E55B}" name="RA1 ou RRD - TUSD (kW)" dataDxfId="556"/>
    <tableColumn id="32" xr3:uid="{319684D7-2911-4B3C-9559-A1D220FDFF87}" name="RA1 ou RRD - TUSD (MWh)" dataDxfId="555"/>
    <tableColumn id="33" xr3:uid="{FC6CB8E6-009C-4BA3-994F-7335DAF62889}" name="RA1 ou RRD - TE (MWh)" dataDxfId="55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4E0254-4A4D-4C49-A7AF-11E32994F90E}" name="Subsidio" displayName="Subsidio" ref="A1:AF134" totalsRowShown="0" headerRowDxfId="553" dataDxfId="552">
  <autoFilter ref="A1:AF134" xr:uid="{AB4E0254-4A4D-4C49-A7AF-11E32994F90E}"/>
  <tableColumns count="32">
    <tableColumn id="1" xr3:uid="{5C78269D-DC5E-4F06-BB43-200E5F4CEA0C}" name="TipoMercado" dataDxfId="551"/>
    <tableColumn id="2" xr3:uid="{67BA3A3C-C033-44D4-A814-0E867C4A8296}" name="Subgrupo" dataDxfId="550"/>
    <tableColumn id="3" xr3:uid="{D4BEB9B4-0664-4BA6-A745-BD35C348E1E8}" name="Modalidade" dataDxfId="549"/>
    <tableColumn id="4" xr3:uid="{4035E185-FA76-4DEF-8EC1-C90D7EE0DEDA}" name="Classe" dataDxfId="548"/>
    <tableColumn id="5" xr3:uid="{844C930E-FE18-49A8-AE35-0A56CDF33BE8}" name="Subclasse" dataDxfId="547"/>
    <tableColumn id="6" xr3:uid="{0FB363FA-A1D7-48D8-A119-3AD6886DAB4A}" name="Detalhe" dataDxfId="546"/>
    <tableColumn id="7" xr3:uid="{0B55002A-C88E-414E-B971-FCF755EBE261}" name="Agente" dataDxfId="545"/>
    <tableColumn id="8" xr3:uid="{F0040EB6-295D-4BD1-BF49-D5EE2F76D96B}" name="Posto" dataDxfId="544"/>
    <tableColumn id="9" xr3:uid="{C64FFCE6-7901-4A2F-AD59-97C7F364539C}" name="AnoMes" dataDxfId="543"/>
    <tableColumn id="10" xr3:uid="{DBF3F0D2-48A7-4731-AE6C-2732A5AD7B21}" name="D" dataDxfId="542"/>
    <tableColumn id="11" xr3:uid="{4844CAF6-CD79-4CE2-A08A-1BF32632AD6D}" name="Daj" dataDxfId="541"/>
    <tableColumn id="12" xr3:uid="{C2876D8D-5BEA-494D-A2FC-A71795CD0143}" name="TUSD_E" dataDxfId="540"/>
    <tableColumn id="13" xr3:uid="{6D40D3E2-5794-49CB-AF70-F2C180F01288}" name="TUSD_Eaj" dataDxfId="539"/>
    <tableColumn id="14" xr3:uid="{946BA8A5-4D4A-4C2A-94FB-C6C7B803646E}" name="TE_E" dataDxfId="538"/>
    <tableColumn id="15" xr3:uid="{76281716-F0EB-4ED2-AFDF-B76EA0701A97}" name="TE_Eaj" dataDxfId="537"/>
    <tableColumn id="16" xr3:uid="{19B52C2F-42D1-4352-B48B-4803382E569A}" name="UC" dataDxfId="536"/>
    <tableColumn id="17" xr3:uid="{9B128A01-8B0C-4204-82ED-DD643CA13976}" name="OPÇÃO" dataDxfId="535"/>
    <tableColumn id="18" xr3:uid="{76071D0D-F951-4720-94D1-CE673B2CC1AB}" name="CóD. AUX." dataDxfId="534"/>
    <tableColumn id="19" xr3:uid="{C6A8B488-B17A-4F30-A095-044E55A69AB9}" name="CóD. AUX. TUSD R$/kW" dataDxfId="533"/>
    <tableColumn id="20" xr3:uid="{4F786FC6-6173-40F2-8915-F8B9653ED2F5}" name="CóD. AUX. TUSD R$/MWh" dataDxfId="532"/>
    <tableColumn id="21" xr3:uid="{5E13F282-28D8-4AAE-9B32-A78537FCF035}" name="CóD. AUX. TE R$/MWh" dataDxfId="531"/>
    <tableColumn id="22" xr3:uid="{9FA0357D-F166-4B05-B618-4E6D0AD8B394}" name="TUSD (R$/kW)" dataDxfId="530"/>
    <tableColumn id="23" xr3:uid="{0C5A80D5-2F8F-488A-B328-39CB0E83E198}" name="TUSD (R$/MWh)" dataDxfId="529"/>
    <tableColumn id="24" xr3:uid="{5EB727DD-9D32-4FC2-8A5B-034E9F345356}" name="TE (R$/MWh)" dataDxfId="528"/>
    <tableColumn id="25" xr3:uid="{193B5988-F674-4785-A793-75435F196DE7}" name="TUSD (R$/kW) NOVA" dataDxfId="527"/>
    <tableColumn id="26" xr3:uid="{7DD52B7A-ACCC-4F44-81FA-59956922C980}" name="TUSD (R$/MWh) NOVA" dataDxfId="526">
      <calculatedColumnFormula>('TUSD BE'!$AM$48+'TUSD BF'!$AM$48+'TUSD CVA'!$AM$48)*1</calculatedColumnFormula>
    </tableColumn>
    <tableColumn id="27" xr3:uid="{1BE2A587-CEFC-418D-966C-BB3CD4B846E1}" name="TE (R$/MWh) NOVA" dataDxfId="525">
      <calculatedColumnFormula>('TE BE'!$AB$38+'TE BF'!$AB$38+'TE CVA'!$AB$38)*1</calculatedColumnFormula>
    </tableColumn>
    <tableColumn id="28" xr3:uid="{E3C8C591-0E5E-422B-AC7F-58A6981A150D}" name="SUBSIDIO kW - TV" dataDxfId="524">
      <calculatedColumnFormula>(J2-K2)*V2</calculatedColumnFormula>
    </tableColumn>
    <tableColumn id="29" xr3:uid="{05F51860-D353-46E8-9CBC-27517BD5D852}" name="SUBSIDIO MWh - TV" dataDxfId="523">
      <calculatedColumnFormula>(L2-M2)*W2+(N2-O2)*X2</calculatedColumnFormula>
    </tableColumn>
    <tableColumn id="30" xr3:uid="{7BB92931-082D-4513-A185-62EE78D898D6}" name="SUBSIDIO kW - TN" dataDxfId="522">
      <calculatedColumnFormula>(J2-K2)*Y2</calculatedColumnFormula>
    </tableColumn>
    <tableColumn id="31" xr3:uid="{A18252B4-7DEA-4EF2-92A7-67FCB3D8AE2E}" name="SUBSIDIO MWh - TN" dataDxfId="521">
      <calculatedColumnFormula>(L2-M2)*Z2+(N2-O2)*AA2</calculatedColumnFormula>
    </tableColumn>
    <tableColumn id="32" xr3:uid="{B20A3FFD-66A0-4F1E-AF77-289E6A4925E6}" name="TIPO" dataDxfId="5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1C1376-C903-4C2D-9950-BCC4DAFDB55D}" name="TabelaFin" displayName="TabelaFin" ref="B3:AT49" tableType="queryTable" totalsRowShown="0" headerRowDxfId="101" dataDxfId="100" headerRowBorderDxfId="148" tableBorderDxfId="149" totalsRowBorderDxfId="147">
  <autoFilter ref="B3:AT49" xr:uid="{D91C1376-C903-4C2D-9950-BCC4DAFDB55D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D33090D4-8E3D-474B-8206-49A651A6F543}" uniqueName="46" name="SUBGRUPO" queryTableFieldId="1" dataDxfId="146"/>
    <tableColumn id="47" xr3:uid="{C9086317-C700-4EE4-9102-47AB991B8DAB}" uniqueName="47" name="MODALIDADE" queryTableFieldId="2" dataDxfId="145"/>
    <tableColumn id="48" xr3:uid="{F2736BA4-6431-4DB7-8A0D-D48263460CD9}" uniqueName="48" name="CLASSE" queryTableFieldId="3" dataDxfId="144"/>
    <tableColumn id="49" xr3:uid="{D8443CE7-7A27-4EAB-9137-62ACE7ACD971}" uniqueName="49" name="SUBCLASSE" queryTableFieldId="4" dataDxfId="143"/>
    <tableColumn id="50" xr3:uid="{B1E30795-33DF-4544-9AEC-70F7F8BDF1F7}" uniqueName="50" name="DETALHE" queryTableFieldId="5" dataDxfId="142"/>
    <tableColumn id="51" xr3:uid="{3DB1CC4C-E6E7-428C-90D5-E56502D70EE3}" uniqueName="51" name="POSTO" queryTableFieldId="6" dataDxfId="141"/>
    <tableColumn id="52" xr3:uid="{6EC1A7D4-0357-4B5C-94F7-3780B3E88D07}" uniqueName="52" name="UNIDADE" queryTableFieldId="7" dataDxfId="140"/>
    <tableColumn id="53" xr3:uid="{4CDDFF55-5394-44F5-B6F2-9F4C807B70D7}" uniqueName="53" name="ACESSANTE" queryTableFieldId="8" dataDxfId="139"/>
    <tableColumn id="54" xr3:uid="{1B10BE93-9BDC-46DE-9573-5F66BC4937CD}" uniqueName="54" name="Total TUSD" queryTableFieldId="9" dataDxfId="138"/>
    <tableColumn id="55" xr3:uid="{33EFF4B2-53EB-4059-A359-A39568839BE8}" uniqueName="55" name="Total TE" queryTableFieldId="10" dataDxfId="137"/>
    <tableColumn id="56" xr3:uid="{30FFDEDF-2E11-4297-AF86-C6B50A09101E}" uniqueName="56" name="TUSD_CDE_COVID" queryTableFieldId="11" dataDxfId="136"/>
    <tableColumn id="57" xr3:uid="{8947FD92-2BFC-4AD2-8EF6-4E9CEEAC5400}" uniqueName="57" name="TUSD_TFSEE" queryTableFieldId="12" dataDxfId="135"/>
    <tableColumn id="58" xr3:uid="{4560AC06-B09A-4093-89D5-0A60A8168F83}" uniqueName="58" name="TUSD_PeD" queryTableFieldId="13" dataDxfId="134"/>
    <tableColumn id="59" xr3:uid="{95476B91-F52F-4C77-B12C-0BEDF4A01E27}" uniqueName="59" name="TUSD_ONS" queryTableFieldId="14" dataDxfId="133"/>
    <tableColumn id="60" xr3:uid="{43313E37-9AC0-4DFE-A392-78F126317368}" uniqueName="60" name="TUSD_CCC" queryTableFieldId="15" dataDxfId="132"/>
    <tableColumn id="61" xr3:uid="{9F27426B-FC9D-44CE-B4F0-DAA0D7403B85}" uniqueName="61" name="TUSD_CDE" queryTableFieldId="16" dataDxfId="131"/>
    <tableColumn id="62" xr3:uid="{7B0EF8C1-0A87-47D7-A642-940831D19104}" uniqueName="62" name="TUSD_PROINFA" queryTableFieldId="17" dataDxfId="130"/>
    <tableColumn id="63" xr3:uid="{932AD2ED-954B-4D8A-9F22-D57517A71B86}" uniqueName="63" name="Liminar1" queryTableFieldId="18" dataDxfId="129"/>
    <tableColumn id="64" xr3:uid="{9FF41804-B738-4A89-BDB9-A0E18D2D58DE}" uniqueName="64" name="TUSD_RB" queryTableFieldId="19" dataDxfId="128"/>
    <tableColumn id="65" xr3:uid="{8465D28F-45DE-4165-8008-7F135B6F7946}" uniqueName="65" name="TUSD_FR" queryTableFieldId="20" dataDxfId="127"/>
    <tableColumn id="66" xr3:uid="{66BECD5A-F4FD-43A4-92B7-94A7519216A4}" uniqueName="66" name="TUSD_CCT" queryTableFieldId="21" dataDxfId="126"/>
    <tableColumn id="67" xr3:uid="{B544C2A7-6A28-4B93-A216-09DD85CC2B62}" uniqueName="67" name="TUSD_CCD" queryTableFieldId="22" dataDxfId="125"/>
    <tableColumn id="68" xr3:uid="{8953C506-1D2A-4765-B183-EFFA463F0520}" uniqueName="68" name="TUSD_CUSD" queryTableFieldId="23" dataDxfId="124"/>
    <tableColumn id="69" xr3:uid="{8DF00BB2-8387-4948-8ABF-C35A667D443A}" uniqueName="69" name="TUSDG_T" queryTableFieldId="24" dataDxfId="123"/>
    <tableColumn id="70" xr3:uid="{8B779515-3497-4AF3-B9B1-26D79550C2DC}" uniqueName="70" name="TUSDG_ONS" queryTableFieldId="25" dataDxfId="122"/>
    <tableColumn id="71" xr3:uid="{3769C006-3CFE-40B3-8A30-8636E5649BB9}" uniqueName="71" name="TUSD_FioB" queryTableFieldId="26" dataDxfId="121"/>
    <tableColumn id="72" xr3:uid="{E4A3EA41-B4AF-436C-80B8-9943AC0009A8}" uniqueName="72" name="TUSD Subsidio" queryTableFieldId="27" dataDxfId="120"/>
    <tableColumn id="73" xr3:uid="{C94018BA-FBA5-4C90-BB24-13664FDB7C99}" uniqueName="73" name="TUSD BENEFICIO_L14299" queryTableFieldId="28" dataDxfId="119"/>
    <tableColumn id="74" xr3:uid="{223C5B66-3A2A-49EB-9112-C5A9F3BD5E2A}" uniqueName="74" name="TUSD Outros" queryTableFieldId="29" dataDxfId="118"/>
    <tableColumn id="75" xr3:uid="{1067AC69-0D65-4CD3-B95E-62FE58461FC7}" uniqueName="75" name="TUSD_PT" queryTableFieldId="30" dataDxfId="117"/>
    <tableColumn id="76" xr3:uid="{C9BDE781-0EC3-4015-A5E8-3A7D049355CA}" uniqueName="76" name="TUSD_Per_RB_D" queryTableFieldId="31" dataDxfId="116"/>
    <tableColumn id="77" xr3:uid="{7A1AA3BE-E11D-464D-9954-150B3EAF9B16}" uniqueName="77" name="TUSD_PNT" queryTableFieldId="32" dataDxfId="115"/>
    <tableColumn id="78" xr3:uid="{046947C3-2EB3-4707-A45E-D4D69F19471A}" uniqueName="78" name="TUSD_RI" queryTableFieldId="33" dataDxfId="114"/>
    <tableColumn id="79" xr3:uid="{C2E01AB9-840E-4D53-91ED-D435A4021663}" uniqueName="79" name="TE_CDE_COVID" queryTableFieldId="34" dataDxfId="113"/>
    <tableColumn id="80" xr3:uid="{ABC75527-B320-438A-B9B9-0D9344F6CCFB}" uniqueName="80" name="TE_CDE_ELET" queryTableFieldId="35" dataDxfId="112"/>
    <tableColumn id="81" xr3:uid="{EE77298F-5992-4B48-9341-D2A42CDCEEAA}" uniqueName="81" name="TE_PeD" queryTableFieldId="36" dataDxfId="111"/>
    <tableColumn id="82" xr3:uid="{E3B63CE4-022E-4A04-BEC9-BE39A8218FF6}" uniqueName="82" name="TE_ESSERR" queryTableFieldId="37" dataDxfId="110"/>
    <tableColumn id="83" xr3:uid="{EC154767-9976-416E-A389-A35C8729053A}" uniqueName="83" name="TE_CFURH" queryTableFieldId="38" dataDxfId="109"/>
    <tableColumn id="84" xr3:uid="{51F83EFB-B59E-4EBB-8B44-DE8B275679D2}" uniqueName="84" name="TE_ENERGIA" queryTableFieldId="39" dataDxfId="108"/>
    <tableColumn id="85" xr3:uid="{445AD6B7-082E-4A6B-AE50-A90101AB7B32}" uniqueName="85" name="TE_TRANSPORTE_ITAIPU" queryTableFieldId="40" dataDxfId="107"/>
    <tableColumn id="86" xr3:uid="{FE8FE587-DB54-46FF-B0E8-0AE947156D27}" uniqueName="86" name="TE_TUST_ITAIPU" queryTableFieldId="41" dataDxfId="106"/>
    <tableColumn id="87" xr3:uid="{4C132671-5D73-4445-B95F-0AEA101B4E1F}" uniqueName="87" name="TE_TUST_CI" queryTableFieldId="42" dataDxfId="105"/>
    <tableColumn id="88" xr3:uid="{5571733E-9BF3-45FB-B836-7BE154A276CB}" uniqueName="88" name="TE Subsidio" queryTableFieldId="43" dataDxfId="104"/>
    <tableColumn id="89" xr3:uid="{F9A504CC-21D4-47BC-B230-CB44D2D8B472}" uniqueName="89" name="TE BENEFICIO_L14299" queryTableFieldId="44" dataDxfId="103"/>
    <tableColumn id="90" xr3:uid="{96CD5D7B-3610-4820-82F8-8538A02BA341}" uniqueName="90" name="TE_Per_RB" queryTableFieldId="45" dataDxfId="10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C34B14-4BD9-49C4-BD79-E769707293EB}" name="TabelaEc" displayName="TabelaEc" ref="B3:AT49" tableType="queryTable" totalsRowShown="0" headerRowDxfId="51" dataDxfId="50" headerRowBorderDxfId="98" tableBorderDxfId="99" totalsRowBorderDxfId="97">
  <autoFilter ref="B3:AT49" xr:uid="{2CC34B14-4BD9-49C4-BD79-E769707293EB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0FC13EC1-E635-41EA-9A18-D0F13F3B6257}" uniqueName="46" name="SUBGRUPO" queryTableFieldId="1" dataDxfId="96"/>
    <tableColumn id="47" xr3:uid="{765018C5-58E7-4464-9D5A-F932AA2CB9A2}" uniqueName="47" name="MODALIDADE" queryTableFieldId="2" dataDxfId="95"/>
    <tableColumn id="48" xr3:uid="{96707D43-D03A-4563-9520-D7127065315B}" uniqueName="48" name="CLASSE" queryTableFieldId="3" dataDxfId="94"/>
    <tableColumn id="49" xr3:uid="{D95E156E-C736-4419-8355-D48EFD777AFC}" uniqueName="49" name="SUBCLASSE" queryTableFieldId="4" dataDxfId="93"/>
    <tableColumn id="50" xr3:uid="{3C731453-4763-4E7D-AC44-9D0F0CE80F82}" uniqueName="50" name="DETALHE" queryTableFieldId="5" dataDxfId="92"/>
    <tableColumn id="51" xr3:uid="{91FDE2E2-8DE0-4C3F-8825-7E1BC545C5D4}" uniqueName="51" name="POSTO" queryTableFieldId="6" dataDxfId="91"/>
    <tableColumn id="52" xr3:uid="{2F753718-547E-42AD-8FD5-24654F769149}" uniqueName="52" name="UNIDADE" queryTableFieldId="7" dataDxfId="90"/>
    <tableColumn id="53" xr3:uid="{608E0CD9-06CB-4175-ABAE-E4690CB4A68A}" uniqueName="53" name="ACESSANTE" queryTableFieldId="8" dataDxfId="89"/>
    <tableColumn id="54" xr3:uid="{59FE1BEE-25AE-4E3F-97F6-BCE66D851823}" uniqueName="54" name="Total TUSD" queryTableFieldId="9" dataDxfId="88"/>
    <tableColumn id="55" xr3:uid="{D9E4D557-FDCB-45EC-B8C7-F369F9EE0871}" uniqueName="55" name="Total TE" queryTableFieldId="10" dataDxfId="87"/>
    <tableColumn id="56" xr3:uid="{A124249C-43AE-4CE3-B296-8151C88152C0}" uniqueName="56" name="TUSD_CDE_COVID" queryTableFieldId="11" dataDxfId="86"/>
    <tableColumn id="57" xr3:uid="{E50A8930-4EC4-4368-BB28-10DB452C722C}" uniqueName="57" name="TUSD_TFSEE" queryTableFieldId="12" dataDxfId="85"/>
    <tableColumn id="58" xr3:uid="{986F0D4A-D73D-4AA2-87F0-2A253A9C7011}" uniqueName="58" name="TUSD_PeD" queryTableFieldId="13" dataDxfId="84"/>
    <tableColumn id="59" xr3:uid="{98A279AE-DA72-4016-AEC5-72A1ABB4DDBA}" uniqueName="59" name="TUSD_ONS" queryTableFieldId="14" dataDxfId="83"/>
    <tableColumn id="60" xr3:uid="{744195E4-8323-477E-BEA3-675B3AEB7079}" uniqueName="60" name="TUSD_CCC" queryTableFieldId="15" dataDxfId="82"/>
    <tableColumn id="61" xr3:uid="{4AE3F080-1A06-4EC0-8955-4C293ED5D568}" uniqueName="61" name="TUSD_CDE" queryTableFieldId="16" dataDxfId="81"/>
    <tableColumn id="62" xr3:uid="{F420709E-4709-405B-B02E-8217942FFE4D}" uniqueName="62" name="TUSD_PROINFA" queryTableFieldId="17" dataDxfId="80"/>
    <tableColumn id="63" xr3:uid="{9CB98AE7-8F28-4DC7-A7BF-387FD5ACAA03}" uniqueName="63" name="Liminar1" queryTableFieldId="18" dataDxfId="79"/>
    <tableColumn id="64" xr3:uid="{9521EFF5-AE4A-4891-8023-C3508A3846D2}" uniqueName="64" name="TUSD_RB" queryTableFieldId="19" dataDxfId="78"/>
    <tableColumn id="65" xr3:uid="{E3424E6A-4526-4CCB-8601-FE0B60B37BE3}" uniqueName="65" name="TUSD_FR" queryTableFieldId="20" dataDxfId="77"/>
    <tableColumn id="66" xr3:uid="{8A4EBE71-B80D-4BF0-97C4-6A7DA3365DD9}" uniqueName="66" name="TUSD_CCT" queryTableFieldId="21" dataDxfId="76"/>
    <tableColumn id="67" xr3:uid="{B1513E8C-0DFB-47DE-924D-6DE188D97E1A}" uniqueName="67" name="TUSD_CCD" queryTableFieldId="22" dataDxfId="75"/>
    <tableColumn id="68" xr3:uid="{7F8F0C6B-DB4A-4A4B-9B32-5567E9719B8C}" uniqueName="68" name="TUSD_CUSD" queryTableFieldId="23" dataDxfId="74"/>
    <tableColumn id="69" xr3:uid="{4B4A1F78-9388-4650-8268-10ACF351042D}" uniqueName="69" name="TUSDG_T" queryTableFieldId="24" dataDxfId="73"/>
    <tableColumn id="70" xr3:uid="{E80C82D9-F341-4A32-8330-3D00E5F0FF24}" uniqueName="70" name="TUSDG_ONS" queryTableFieldId="25" dataDxfId="72"/>
    <tableColumn id="71" xr3:uid="{1CFED34F-16F3-4A51-9930-F8E118692DAB}" uniqueName="71" name="TUSD_FioB" queryTableFieldId="26" dataDxfId="71"/>
    <tableColumn id="72" xr3:uid="{42C53BAD-D47F-4E6C-A08C-4096305484F4}" uniqueName="72" name="TUSD Subsidio" queryTableFieldId="27" dataDxfId="70"/>
    <tableColumn id="73" xr3:uid="{6EB2EEFB-201D-41DD-90D1-5AC2AA38DE87}" uniqueName="73" name="TUSD BENEFICIO_L14299" queryTableFieldId="28" dataDxfId="69"/>
    <tableColumn id="74" xr3:uid="{8D1B3FC3-FEA3-4DD0-9C77-2F2F6BB9C143}" uniqueName="74" name="TUSD Outros" queryTableFieldId="29" dataDxfId="68"/>
    <tableColumn id="75" xr3:uid="{35BF7A71-557F-4836-8D89-EE2D8C20053E}" uniqueName="75" name="TUSD_PT" queryTableFieldId="30" dataDxfId="67"/>
    <tableColumn id="76" xr3:uid="{8E3F8E6A-A761-43D8-91FC-DA15A9E5A8B1}" uniqueName="76" name="TUSD_Per_RB_D" queryTableFieldId="31" dataDxfId="66"/>
    <tableColumn id="77" xr3:uid="{7E2E8AAB-10F9-4DEB-9599-2419A03B368A}" uniqueName="77" name="TUSD_PNT" queryTableFieldId="32" dataDxfId="65"/>
    <tableColumn id="78" xr3:uid="{89965AD5-5A6B-4B97-B5F7-4ACFEFBF88EC}" uniqueName="78" name="TUSD_RI" queryTableFieldId="33" dataDxfId="64"/>
    <tableColumn id="79" xr3:uid="{A5BD27ED-F556-42CA-BDE8-88FB0482B7A8}" uniqueName="79" name="TE_CDE_COVID" queryTableFieldId="34" dataDxfId="63"/>
    <tableColumn id="80" xr3:uid="{4D973BCB-3C6C-430A-B1E1-F7CD498EDAC7}" uniqueName="80" name="TE_CDE_ELET" queryTableFieldId="35" dataDxfId="62"/>
    <tableColumn id="81" xr3:uid="{CC1812A7-F9E7-497C-90F7-1B45B2388629}" uniqueName="81" name="TE_PeD" queryTableFieldId="36" dataDxfId="61"/>
    <tableColumn id="82" xr3:uid="{B5F3DD33-426A-467B-AFB1-EE0CB2C20761}" uniqueName="82" name="TE_ESSERR" queryTableFieldId="37" dataDxfId="60"/>
    <tableColumn id="83" xr3:uid="{A6D9A294-2784-46A4-8038-9583628E1706}" uniqueName="83" name="TE_CFURH" queryTableFieldId="38" dataDxfId="59"/>
    <tableColumn id="84" xr3:uid="{D36D0E8A-E55A-44F1-9345-36F56C8AF57A}" uniqueName="84" name="TE_ENERGIA" queryTableFieldId="39" dataDxfId="58"/>
    <tableColumn id="85" xr3:uid="{8FDA8D21-C489-4EBC-957A-EDD3922D08B6}" uniqueName="85" name="TE_TRANSPORTE_ITAIPU" queryTableFieldId="40" dataDxfId="57"/>
    <tableColumn id="86" xr3:uid="{937144B9-321A-4A47-BC22-748A0E0F5BA6}" uniqueName="86" name="TE_TUST_ITAIPU" queryTableFieldId="41" dataDxfId="56"/>
    <tableColumn id="87" xr3:uid="{9F1B57F4-70F3-461A-A884-9FE9C76FAEF5}" uniqueName="87" name="TE_TUST_CI" queryTableFieldId="42" dataDxfId="55"/>
    <tableColumn id="88" xr3:uid="{6A7CFD26-B894-4CBC-999C-4F405AFEE0D2}" uniqueName="88" name="TE Subsidio" queryTableFieldId="43" dataDxfId="54"/>
    <tableColumn id="89" xr3:uid="{3F12AA13-9BB7-47EC-AF6F-CFFBD786F60F}" uniqueName="89" name="TE BENEFICIO_L14299" queryTableFieldId="44" dataDxfId="53"/>
    <tableColumn id="90" xr3:uid="{3DA7770E-EC3C-44E5-B741-277D2639DF12}" uniqueName="90" name="TE_Per_RB" queryTableFieldId="45" dataDxfId="5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587EEA-2561-4F13-B530-F13DF4E9DF02}" name="TabelaCVA" displayName="TabelaCVA" ref="B3:AT49" tableType="queryTable" totalsRowShown="0" headerRowDxfId="1" dataDxfId="0" headerRowBorderDxfId="48" tableBorderDxfId="49" totalsRowBorderDxfId="47">
  <autoFilter ref="B3:AT49" xr:uid="{79587EEA-2561-4F13-B530-F13DF4E9DF02}"/>
  <sortState xmlns:xlrd2="http://schemas.microsoft.com/office/spreadsheetml/2017/richdata2" ref="B4:AT49">
    <sortCondition ref="B4:B49"/>
    <sortCondition ref="C4:C49"/>
    <sortCondition ref="D4:D49"/>
    <sortCondition ref="E4:E49"/>
    <sortCondition ref="F4:F49"/>
    <sortCondition descending="1" ref="G4:G49"/>
    <sortCondition descending="1" ref="H4:H49"/>
    <sortCondition ref="I4:I49"/>
  </sortState>
  <tableColumns count="45">
    <tableColumn id="46" xr3:uid="{6EA3BF1A-8A79-4416-8367-B7ADF8D347CE}" uniqueName="46" name="SUBGRUPO" queryTableFieldId="1" dataDxfId="46"/>
    <tableColumn id="47" xr3:uid="{647CC803-593D-4837-AD43-13D7C2B63B95}" uniqueName="47" name="MODALIDADE" queryTableFieldId="2" dataDxfId="45"/>
    <tableColumn id="48" xr3:uid="{64EDEC83-7CCC-4ED7-95D6-DA8284CFE5CC}" uniqueName="48" name="CLASSE" queryTableFieldId="3" dataDxfId="44"/>
    <tableColumn id="49" xr3:uid="{A2CDB92F-20BC-4FEF-8464-713FF2152F8F}" uniqueName="49" name="SUBCLASSE" queryTableFieldId="4" dataDxfId="43"/>
    <tableColumn id="50" xr3:uid="{151AE36F-D7FA-479B-A800-D2B6D0D9D494}" uniqueName="50" name="DETALHE" queryTableFieldId="5" dataDxfId="42"/>
    <tableColumn id="51" xr3:uid="{7F5DB50E-2AF4-4C70-876A-F5D90B5345F4}" uniqueName="51" name="POSTO" queryTableFieldId="6" dataDxfId="41"/>
    <tableColumn id="52" xr3:uid="{AF7370B2-40B4-497B-9E33-87FFEA4A8A42}" uniqueName="52" name="UNIDADE" queryTableFieldId="7" dataDxfId="40"/>
    <tableColumn id="53" xr3:uid="{27437919-6818-49FD-AC08-E0BB628F19E1}" uniqueName="53" name="ACESSANTE" queryTableFieldId="8" dataDxfId="39"/>
    <tableColumn id="54" xr3:uid="{AA0AA27F-C0A0-4799-8D8A-658E5FB6CAB3}" uniqueName="54" name="Total TUSD" queryTableFieldId="9" dataDxfId="38"/>
    <tableColumn id="55" xr3:uid="{71471D1D-978C-405D-AF19-AE163EAA7E2E}" uniqueName="55" name="Total TE" queryTableFieldId="10" dataDxfId="37"/>
    <tableColumn id="56" xr3:uid="{C195511E-A4AD-4111-B47F-66E8BBC5DDF6}" uniqueName="56" name="TUSD_CDE_COVID" queryTableFieldId="11" dataDxfId="36"/>
    <tableColumn id="57" xr3:uid="{2AFA166E-BDA1-43FB-82EB-6A4D8CC804F4}" uniqueName="57" name="TUSD_TFSEE" queryTableFieldId="12" dataDxfId="35"/>
    <tableColumn id="58" xr3:uid="{932E9420-3D05-4929-9244-C597A2861BA9}" uniqueName="58" name="TUSD_PeD" queryTableFieldId="13" dataDxfId="34"/>
    <tableColumn id="59" xr3:uid="{D0AD9FE2-4836-4288-8A76-F5E85CF42867}" uniqueName="59" name="TUSD_ONS" queryTableFieldId="14" dataDxfId="33"/>
    <tableColumn id="60" xr3:uid="{91AB5924-E88A-47ED-88E0-48EE42717280}" uniqueName="60" name="TUSD_CCC" queryTableFieldId="15" dataDxfId="32"/>
    <tableColumn id="61" xr3:uid="{C57BA61A-434B-45F5-8E3D-85F0BD76E35A}" uniqueName="61" name="TUSD_CDE" queryTableFieldId="16" dataDxfId="31"/>
    <tableColumn id="62" xr3:uid="{1095EC8B-B518-4EAE-AFD9-9AEA02FD39D4}" uniqueName="62" name="TUSD_PROINFA" queryTableFieldId="17" dataDxfId="30"/>
    <tableColumn id="63" xr3:uid="{761CEA82-AB21-4314-87D5-FBFDA419F454}" uniqueName="63" name="Liminar1" queryTableFieldId="18" dataDxfId="29"/>
    <tableColumn id="64" xr3:uid="{1A910B4C-EADD-4AF6-92B9-E85CBA48AC88}" uniqueName="64" name="TUSD_RB" queryTableFieldId="19" dataDxfId="28"/>
    <tableColumn id="65" xr3:uid="{ABB4D94B-1200-4915-8189-D664714CFFB3}" uniqueName="65" name="TUSD_FR" queryTableFieldId="20" dataDxfId="27"/>
    <tableColumn id="66" xr3:uid="{73482F81-CB77-4186-B245-0FB574344435}" uniqueName="66" name="TUSD_CCT" queryTableFieldId="21" dataDxfId="26"/>
    <tableColumn id="67" xr3:uid="{5B46E3D3-839D-4E8D-9986-2E4EA53EA0D4}" uniqueName="67" name="TUSD_CCD" queryTableFieldId="22" dataDxfId="25"/>
    <tableColumn id="68" xr3:uid="{5E7BAE12-3A29-4C96-9BA6-47F80700704A}" uniqueName="68" name="TUSD_CUSD" queryTableFieldId="23" dataDxfId="24"/>
    <tableColumn id="69" xr3:uid="{D9EA0850-4FF7-43BF-A4E4-57BC3E70EB9B}" uniqueName="69" name="TUSDG_T" queryTableFieldId="24" dataDxfId="23"/>
    <tableColumn id="70" xr3:uid="{F3546D40-83E8-436F-B0EF-10EBE785EA79}" uniqueName="70" name="TUSDG_ONS" queryTableFieldId="25" dataDxfId="22"/>
    <tableColumn id="71" xr3:uid="{34376BFF-CA29-446E-B96D-739190C61173}" uniqueName="71" name="TUSD_FioB" queryTableFieldId="26" dataDxfId="21"/>
    <tableColumn id="72" xr3:uid="{0D507A06-ADF2-4350-BD4B-998C68BA2416}" uniqueName="72" name="TUSD Subsidio" queryTableFieldId="27" dataDxfId="20"/>
    <tableColumn id="73" xr3:uid="{12959A34-BDF5-4F22-8263-BBC56B6BCF52}" uniqueName="73" name="TUSD BENEFICIO_L14299" queryTableFieldId="28" dataDxfId="19"/>
    <tableColumn id="74" xr3:uid="{CF6900BB-A3CB-4F97-B47D-DD81E5C384FC}" uniqueName="74" name="TUSD Outros" queryTableFieldId="29" dataDxfId="18"/>
    <tableColumn id="75" xr3:uid="{DF3F1A97-2278-4790-AD4A-CE62E7F51F04}" uniqueName="75" name="TUSD_PT" queryTableFieldId="30" dataDxfId="17"/>
    <tableColumn id="76" xr3:uid="{0F7B5466-C7AC-47B5-9A07-A5A3B63224FB}" uniqueName="76" name="TUSD_Per_RB_D" queryTableFieldId="31" dataDxfId="16"/>
    <tableColumn id="77" xr3:uid="{F04AE0B4-4C21-4DBE-AE1E-D6F89F5F568E}" uniqueName="77" name="TUSD_PNT" queryTableFieldId="32" dataDxfId="15"/>
    <tableColumn id="78" xr3:uid="{DCAC8D09-217E-4EEB-9639-44EAFB1DDBEA}" uniqueName="78" name="TUSD_RI" queryTableFieldId="33" dataDxfId="14"/>
    <tableColumn id="79" xr3:uid="{79DD812F-EBC2-4D30-9269-511816055C0D}" uniqueName="79" name="TE_CDE_COVID" queryTableFieldId="34" dataDxfId="13"/>
    <tableColumn id="80" xr3:uid="{E5CB8716-4703-41A6-88AC-27921E5B854D}" uniqueName="80" name="TE_CDE_ELET" queryTableFieldId="35" dataDxfId="12"/>
    <tableColumn id="81" xr3:uid="{59929EA4-5208-442D-BDC1-11EFAB07D396}" uniqueName="81" name="TE_PeD" queryTableFieldId="36" dataDxfId="11"/>
    <tableColumn id="82" xr3:uid="{AE21C2E4-C45E-4467-AEB4-A20C608EBB25}" uniqueName="82" name="TE_ESSERR" queryTableFieldId="37" dataDxfId="10"/>
    <tableColumn id="83" xr3:uid="{B4AEDDA5-1D3A-4147-AF6E-11E20E5B5EF4}" uniqueName="83" name="TE_CFURH" queryTableFieldId="38" dataDxfId="9"/>
    <tableColumn id="84" xr3:uid="{3DC68143-3CE2-45CE-884A-A426DBBC8F61}" uniqueName="84" name="TE_ENERGIA" queryTableFieldId="39" dataDxfId="8"/>
    <tableColumn id="85" xr3:uid="{4EB88BAF-C5D4-485D-BB40-E23B4B991F4D}" uniqueName="85" name="TE_TRANSPORTE_ITAIPU" queryTableFieldId="40" dataDxfId="7"/>
    <tableColumn id="86" xr3:uid="{4857E202-A860-493A-B914-A262B32B1E14}" uniqueName="86" name="TE_TUST_ITAIPU" queryTableFieldId="41" dataDxfId="6"/>
    <tableColumn id="87" xr3:uid="{3F40EC02-22B9-4354-B59A-48864D565AE8}" uniqueName="87" name="TE_TUST_CI" queryTableFieldId="42" dataDxfId="5"/>
    <tableColumn id="88" xr3:uid="{32CEF42D-84A6-4EB2-9C31-C36AF1FB6537}" uniqueName="88" name="TE Subsidio" queryTableFieldId="43" dataDxfId="4"/>
    <tableColumn id="89" xr3:uid="{29BC66F0-70CE-4007-99C1-8FD4D045956F}" uniqueName="89" name="TE BENEFICIO_L14299" queryTableFieldId="44" dataDxfId="3"/>
    <tableColumn id="90" xr3:uid="{3D7FC313-2031-4E80-A383-74EB42AE3420}" uniqueName="90" name="TE_Per_RB" queryTableFieldId="4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19EC-195D-4D7D-9FAD-1B523F7F90ED}">
  <sheetPr codeName="Planilha1"/>
  <dimension ref="A1:W352"/>
  <sheetViews>
    <sheetView showGridLines="0" topLeftCell="H325" workbookViewId="0">
      <selection activeCell="T353" sqref="T353"/>
    </sheetView>
  </sheetViews>
  <sheetFormatPr defaultColWidth="9.109375" defaultRowHeight="11.25" customHeight="1" x14ac:dyDescent="0.3"/>
  <cols>
    <col min="1" max="1" width="19.109375" style="4" bestFit="1" customWidth="1"/>
    <col min="2" max="2" width="8.6640625" style="4" bestFit="1" customWidth="1"/>
    <col min="3" max="3" width="10.33203125" style="4" bestFit="1" customWidth="1"/>
    <col min="4" max="4" width="13.5546875" style="4" bestFit="1" customWidth="1"/>
    <col min="5" max="5" width="25.109375" style="4" bestFit="1" customWidth="1"/>
    <col min="6" max="8" width="10.33203125" style="4" bestFit="1" customWidth="1"/>
    <col min="9" max="9" width="8.6640625" style="5" bestFit="1" customWidth="1"/>
    <col min="10" max="11" width="7.88671875" style="6" bestFit="1" customWidth="1"/>
    <col min="12" max="12" width="7" style="6" bestFit="1" customWidth="1"/>
    <col min="13" max="13" width="8" style="6" bestFit="1" customWidth="1"/>
    <col min="14" max="16" width="7" style="6" bestFit="1" customWidth="1"/>
    <col min="17" max="17" width="6.5546875" style="4" bestFit="1" customWidth="1"/>
    <col min="18" max="18" width="8.5546875" style="4" bestFit="1" customWidth="1"/>
    <col min="19" max="19" width="78.109375" style="4" bestFit="1" customWidth="1"/>
    <col min="20" max="20" width="83.88671875" style="4" bestFit="1" customWidth="1"/>
    <col min="21" max="21" width="18.44140625" style="4" bestFit="1" customWidth="1"/>
    <col min="22" max="22" width="19.88671875" style="4" bestFit="1" customWidth="1"/>
    <col min="23" max="23" width="17.6640625" style="4" bestFit="1" customWidth="1"/>
    <col min="24" max="16384" width="9.109375" style="4"/>
  </cols>
  <sheetData>
    <row r="1" spans="1:23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88</v>
      </c>
      <c r="T1" s="1" t="s">
        <v>261</v>
      </c>
      <c r="U1" s="1" t="s">
        <v>18</v>
      </c>
      <c r="V1" s="1" t="s">
        <v>19</v>
      </c>
      <c r="W1" s="1" t="s">
        <v>20</v>
      </c>
    </row>
    <row r="2" spans="1:23" ht="11.25" customHeight="1" x14ac:dyDescent="0.3">
      <c r="A2" s="4" t="s">
        <v>21</v>
      </c>
      <c r="B2" s="4" t="s">
        <v>35</v>
      </c>
      <c r="C2" s="4" t="s">
        <v>50</v>
      </c>
      <c r="D2" s="4" t="s">
        <v>48</v>
      </c>
      <c r="E2" s="4" t="s">
        <v>49</v>
      </c>
      <c r="F2" s="4" t="s">
        <v>25</v>
      </c>
      <c r="G2" s="4" t="s">
        <v>25</v>
      </c>
      <c r="H2" s="4" t="s">
        <v>38</v>
      </c>
      <c r="I2" s="5">
        <v>44440</v>
      </c>
      <c r="J2" s="6">
        <v>100</v>
      </c>
      <c r="K2" s="6">
        <v>94</v>
      </c>
      <c r="L2" s="6">
        <v>40.451000000000001</v>
      </c>
      <c r="M2" s="6">
        <v>38.023940000000003</v>
      </c>
      <c r="N2" s="6">
        <v>40.451000000000001</v>
      </c>
      <c r="O2" s="6">
        <v>38.023940000000003</v>
      </c>
      <c r="P2" s="6">
        <v>0</v>
      </c>
      <c r="Q2" s="4" t="s">
        <v>26</v>
      </c>
      <c r="R2" s="4">
        <v>0</v>
      </c>
      <c r="S2" s="4" t="s">
        <v>89</v>
      </c>
      <c r="T2" s="4" t="s">
        <v>262</v>
      </c>
      <c r="U2" s="4">
        <v>21</v>
      </c>
      <c r="V2" s="4">
        <v>1</v>
      </c>
      <c r="W2" s="4">
        <v>40</v>
      </c>
    </row>
    <row r="3" spans="1:23" ht="11.25" customHeight="1" x14ac:dyDescent="0.3">
      <c r="A3" s="4" t="s">
        <v>21</v>
      </c>
      <c r="B3" s="4" t="s">
        <v>35</v>
      </c>
      <c r="C3" s="4" t="s">
        <v>50</v>
      </c>
      <c r="D3" s="4" t="s">
        <v>48</v>
      </c>
      <c r="E3" s="4" t="s">
        <v>49</v>
      </c>
      <c r="F3" s="4" t="s">
        <v>25</v>
      </c>
      <c r="G3" s="4" t="s">
        <v>25</v>
      </c>
      <c r="H3" s="4" t="s">
        <v>38</v>
      </c>
      <c r="I3" s="5">
        <v>44470</v>
      </c>
      <c r="J3" s="6">
        <v>101</v>
      </c>
      <c r="K3" s="6">
        <v>94.94</v>
      </c>
      <c r="L3" s="6">
        <v>39.823999999999998</v>
      </c>
      <c r="M3" s="6">
        <v>37.434559999999998</v>
      </c>
      <c r="N3" s="6">
        <v>39.823999999999998</v>
      </c>
      <c r="O3" s="6">
        <v>37.434559999999998</v>
      </c>
      <c r="P3" s="6">
        <v>0</v>
      </c>
      <c r="Q3" s="4" t="s">
        <v>26</v>
      </c>
      <c r="R3" s="4">
        <v>0</v>
      </c>
      <c r="S3" s="4" t="s">
        <v>90</v>
      </c>
      <c r="T3" s="4" t="s">
        <v>263</v>
      </c>
      <c r="U3" s="4">
        <v>21</v>
      </c>
      <c r="V3" s="4">
        <v>1</v>
      </c>
      <c r="W3" s="4">
        <v>40</v>
      </c>
    </row>
    <row r="4" spans="1:23" ht="11.25" customHeight="1" x14ac:dyDescent="0.3">
      <c r="A4" s="4" t="s">
        <v>21</v>
      </c>
      <c r="B4" s="4" t="s">
        <v>35</v>
      </c>
      <c r="C4" s="4" t="s">
        <v>50</v>
      </c>
      <c r="D4" s="4" t="s">
        <v>48</v>
      </c>
      <c r="E4" s="4" t="s">
        <v>49</v>
      </c>
      <c r="F4" s="4" t="s">
        <v>25</v>
      </c>
      <c r="G4" s="4" t="s">
        <v>25</v>
      </c>
      <c r="H4" s="4" t="s">
        <v>37</v>
      </c>
      <c r="I4" s="5">
        <v>44440</v>
      </c>
      <c r="J4" s="6">
        <v>100</v>
      </c>
      <c r="K4" s="6">
        <v>94</v>
      </c>
      <c r="L4" s="6">
        <v>4.6870000000000003</v>
      </c>
      <c r="M4" s="6">
        <v>4.40578</v>
      </c>
      <c r="N4" s="6">
        <v>4.6870000000000003</v>
      </c>
      <c r="O4" s="6">
        <v>4.40578</v>
      </c>
      <c r="P4" s="6">
        <v>0</v>
      </c>
      <c r="Q4" s="4" t="s">
        <v>26</v>
      </c>
      <c r="R4" s="4">
        <v>0</v>
      </c>
      <c r="S4" s="4" t="s">
        <v>91</v>
      </c>
      <c r="T4" s="4" t="s">
        <v>264</v>
      </c>
      <c r="U4" s="4">
        <v>31</v>
      </c>
      <c r="V4" s="4">
        <v>1</v>
      </c>
      <c r="W4" s="4">
        <v>34</v>
      </c>
    </row>
    <row r="5" spans="1:23" ht="11.25" customHeight="1" x14ac:dyDescent="0.3">
      <c r="A5" s="4" t="s">
        <v>21</v>
      </c>
      <c r="B5" s="4" t="s">
        <v>35</v>
      </c>
      <c r="C5" s="4" t="s">
        <v>50</v>
      </c>
      <c r="D5" s="4" t="s">
        <v>48</v>
      </c>
      <c r="E5" s="4" t="s">
        <v>49</v>
      </c>
      <c r="F5" s="4" t="s">
        <v>25</v>
      </c>
      <c r="G5" s="4" t="s">
        <v>25</v>
      </c>
      <c r="H5" s="4" t="s">
        <v>37</v>
      </c>
      <c r="I5" s="5">
        <v>44470</v>
      </c>
      <c r="J5" s="6">
        <v>101</v>
      </c>
      <c r="K5" s="6">
        <v>94.94</v>
      </c>
      <c r="L5" s="6">
        <v>4.5910000000000002</v>
      </c>
      <c r="M5" s="6">
        <v>4.3155400000000004</v>
      </c>
      <c r="N5" s="6">
        <v>4.5910000000000002</v>
      </c>
      <c r="O5" s="6">
        <v>4.3155400000000004</v>
      </c>
      <c r="P5" s="6">
        <v>0</v>
      </c>
      <c r="Q5" s="4" t="s">
        <v>26</v>
      </c>
      <c r="R5" s="4">
        <v>0</v>
      </c>
      <c r="S5" s="4" t="s">
        <v>92</v>
      </c>
      <c r="T5" s="4" t="s">
        <v>265</v>
      </c>
      <c r="U5" s="4">
        <v>31</v>
      </c>
      <c r="V5" s="4">
        <v>1</v>
      </c>
      <c r="W5" s="4">
        <v>34</v>
      </c>
    </row>
    <row r="6" spans="1:23" ht="11.25" customHeight="1" x14ac:dyDescent="0.3">
      <c r="A6" s="4" t="s">
        <v>21</v>
      </c>
      <c r="B6" s="4" t="s">
        <v>35</v>
      </c>
      <c r="C6" s="4" t="s">
        <v>36</v>
      </c>
      <c r="D6" s="4" t="s">
        <v>34</v>
      </c>
      <c r="E6" s="4" t="s">
        <v>25</v>
      </c>
      <c r="F6" s="4" t="s">
        <v>25</v>
      </c>
      <c r="G6" s="4" t="s">
        <v>25</v>
      </c>
      <c r="H6" s="4" t="s">
        <v>38</v>
      </c>
      <c r="I6" s="5">
        <v>44440</v>
      </c>
      <c r="J6" s="6">
        <v>0</v>
      </c>
      <c r="K6" s="6">
        <v>0</v>
      </c>
      <c r="L6" s="6">
        <v>2450.712</v>
      </c>
      <c r="M6" s="6">
        <v>2450.712</v>
      </c>
      <c r="N6" s="6">
        <v>2450.712</v>
      </c>
      <c r="O6" s="6">
        <v>2450.712</v>
      </c>
      <c r="P6" s="6">
        <v>0</v>
      </c>
      <c r="Q6" s="4" t="s">
        <v>26</v>
      </c>
      <c r="R6" s="4">
        <v>0</v>
      </c>
      <c r="S6" s="4" t="s">
        <v>93</v>
      </c>
      <c r="T6" s="4" t="s">
        <v>262</v>
      </c>
      <c r="U6" s="4">
        <v>0</v>
      </c>
      <c r="V6" s="4">
        <v>10</v>
      </c>
      <c r="W6" s="4">
        <v>40</v>
      </c>
    </row>
    <row r="7" spans="1:23" ht="11.25" customHeight="1" x14ac:dyDescent="0.3">
      <c r="A7" s="4" t="s">
        <v>21</v>
      </c>
      <c r="B7" s="4" t="s">
        <v>35</v>
      </c>
      <c r="C7" s="4" t="s">
        <v>36</v>
      </c>
      <c r="D7" s="4" t="s">
        <v>34</v>
      </c>
      <c r="E7" s="4" t="s">
        <v>25</v>
      </c>
      <c r="F7" s="4" t="s">
        <v>25</v>
      </c>
      <c r="G7" s="4" t="s">
        <v>25</v>
      </c>
      <c r="H7" s="4" t="s">
        <v>38</v>
      </c>
      <c r="I7" s="5">
        <v>44470</v>
      </c>
      <c r="J7" s="6">
        <v>0</v>
      </c>
      <c r="K7" s="6">
        <v>0</v>
      </c>
      <c r="L7" s="6">
        <v>2405.5880000000002</v>
      </c>
      <c r="M7" s="6">
        <v>2405.5880000000002</v>
      </c>
      <c r="N7" s="6">
        <v>2405.5880000000002</v>
      </c>
      <c r="O7" s="6">
        <v>2405.5880000000002</v>
      </c>
      <c r="P7" s="6">
        <v>0</v>
      </c>
      <c r="Q7" s="4" t="s">
        <v>26</v>
      </c>
      <c r="R7" s="4">
        <v>0</v>
      </c>
      <c r="S7" s="4" t="s">
        <v>94</v>
      </c>
      <c r="T7" s="4" t="s">
        <v>263</v>
      </c>
      <c r="U7" s="4">
        <v>0</v>
      </c>
      <c r="V7" s="4">
        <v>10</v>
      </c>
      <c r="W7" s="4">
        <v>40</v>
      </c>
    </row>
    <row r="8" spans="1:23" ht="11.25" customHeight="1" x14ac:dyDescent="0.3">
      <c r="A8" s="4" t="s">
        <v>21</v>
      </c>
      <c r="B8" s="4" t="s">
        <v>35</v>
      </c>
      <c r="C8" s="4" t="s">
        <v>36</v>
      </c>
      <c r="D8" s="4" t="s">
        <v>34</v>
      </c>
      <c r="E8" s="4" t="s">
        <v>25</v>
      </c>
      <c r="F8" s="4" t="s">
        <v>25</v>
      </c>
      <c r="G8" s="4" t="s">
        <v>25</v>
      </c>
      <c r="H8" s="4" t="s">
        <v>38</v>
      </c>
      <c r="I8" s="5">
        <v>44501</v>
      </c>
      <c r="J8" s="6">
        <v>0</v>
      </c>
      <c r="K8" s="6">
        <v>0</v>
      </c>
      <c r="L8" s="6">
        <v>2421.614</v>
      </c>
      <c r="M8" s="6">
        <v>2421.614</v>
      </c>
      <c r="N8" s="6">
        <v>2421.614</v>
      </c>
      <c r="O8" s="6">
        <v>2421.614</v>
      </c>
      <c r="P8" s="6">
        <v>0</v>
      </c>
      <c r="Q8" s="4" t="s">
        <v>26</v>
      </c>
      <c r="R8" s="4">
        <v>0</v>
      </c>
      <c r="S8" s="4" t="s">
        <v>95</v>
      </c>
      <c r="T8" s="4" t="s">
        <v>266</v>
      </c>
      <c r="U8" s="4">
        <v>0</v>
      </c>
      <c r="V8" s="4">
        <v>10</v>
      </c>
      <c r="W8" s="4">
        <v>40</v>
      </c>
    </row>
    <row r="9" spans="1:23" ht="11.25" customHeight="1" x14ac:dyDescent="0.3">
      <c r="A9" s="4" t="s">
        <v>21</v>
      </c>
      <c r="B9" s="4" t="s">
        <v>35</v>
      </c>
      <c r="C9" s="4" t="s">
        <v>36</v>
      </c>
      <c r="D9" s="4" t="s">
        <v>34</v>
      </c>
      <c r="E9" s="4" t="s">
        <v>25</v>
      </c>
      <c r="F9" s="4" t="s">
        <v>25</v>
      </c>
      <c r="G9" s="4" t="s">
        <v>25</v>
      </c>
      <c r="H9" s="4" t="s">
        <v>38</v>
      </c>
      <c r="I9" s="5">
        <v>44531</v>
      </c>
      <c r="J9" s="6">
        <v>0</v>
      </c>
      <c r="K9" s="6">
        <v>0</v>
      </c>
      <c r="L9" s="6">
        <v>2118.2919999999999</v>
      </c>
      <c r="M9" s="6">
        <v>2118.2919999999999</v>
      </c>
      <c r="N9" s="6">
        <v>2118.2919999999999</v>
      </c>
      <c r="O9" s="6">
        <v>2118.2919999999999</v>
      </c>
      <c r="P9" s="6">
        <v>0</v>
      </c>
      <c r="Q9" s="4" t="s">
        <v>26</v>
      </c>
      <c r="R9" s="4">
        <v>0</v>
      </c>
      <c r="S9" s="4" t="s">
        <v>96</v>
      </c>
      <c r="T9" s="4" t="s">
        <v>267</v>
      </c>
      <c r="U9" s="4">
        <v>0</v>
      </c>
      <c r="V9" s="4">
        <v>10</v>
      </c>
      <c r="W9" s="4">
        <v>40</v>
      </c>
    </row>
    <row r="10" spans="1:23" ht="11.25" customHeight="1" x14ac:dyDescent="0.3">
      <c r="A10" s="4" t="s">
        <v>28</v>
      </c>
      <c r="B10" s="4" t="s">
        <v>35</v>
      </c>
      <c r="C10" s="4" t="s">
        <v>36</v>
      </c>
      <c r="D10" s="4" t="s">
        <v>34</v>
      </c>
      <c r="E10" s="4" t="s">
        <v>25</v>
      </c>
      <c r="F10" s="4" t="s">
        <v>25</v>
      </c>
      <c r="G10" s="4" t="s">
        <v>25</v>
      </c>
      <c r="H10" s="4" t="s">
        <v>38</v>
      </c>
      <c r="I10" s="5">
        <v>44531</v>
      </c>
      <c r="J10" s="6">
        <v>0</v>
      </c>
      <c r="K10" s="6">
        <v>0</v>
      </c>
      <c r="L10" s="6">
        <v>4.9939999999999998</v>
      </c>
      <c r="M10" s="6">
        <v>4.9939999999999998</v>
      </c>
      <c r="N10" s="6">
        <v>4.9939999999999998</v>
      </c>
      <c r="O10" s="6">
        <v>4.9939999999999998</v>
      </c>
      <c r="P10" s="6">
        <v>0</v>
      </c>
      <c r="Q10" s="4" t="s">
        <v>26</v>
      </c>
      <c r="R10" s="4">
        <v>0</v>
      </c>
      <c r="S10" s="4" t="s">
        <v>96</v>
      </c>
      <c r="T10" s="4" t="s">
        <v>267</v>
      </c>
      <c r="U10" s="4">
        <v>0</v>
      </c>
      <c r="V10" s="4">
        <v>10</v>
      </c>
      <c r="W10" s="4">
        <v>40</v>
      </c>
    </row>
    <row r="11" spans="1:23" ht="11.25" customHeight="1" x14ac:dyDescent="0.3">
      <c r="A11" s="4" t="s">
        <v>21</v>
      </c>
      <c r="B11" s="4" t="s">
        <v>35</v>
      </c>
      <c r="C11" s="4" t="s">
        <v>36</v>
      </c>
      <c r="D11" s="4" t="s">
        <v>34</v>
      </c>
      <c r="E11" s="4" t="s">
        <v>25</v>
      </c>
      <c r="F11" s="4" t="s">
        <v>25</v>
      </c>
      <c r="G11" s="4" t="s">
        <v>25</v>
      </c>
      <c r="H11" s="4" t="s">
        <v>38</v>
      </c>
      <c r="I11" s="5">
        <v>44562</v>
      </c>
      <c r="J11" s="6">
        <v>0</v>
      </c>
      <c r="K11" s="6">
        <v>0</v>
      </c>
      <c r="L11" s="6">
        <v>2232.203</v>
      </c>
      <c r="M11" s="6">
        <v>2232.203</v>
      </c>
      <c r="N11" s="6">
        <v>2232.203</v>
      </c>
      <c r="O11" s="6">
        <v>2232.203</v>
      </c>
      <c r="P11" s="6">
        <v>0</v>
      </c>
      <c r="Q11" s="4" t="s">
        <v>26</v>
      </c>
      <c r="R11" s="4">
        <v>0</v>
      </c>
      <c r="S11" s="4" t="s">
        <v>97</v>
      </c>
      <c r="T11" s="4" t="s">
        <v>268</v>
      </c>
      <c r="U11" s="4">
        <v>0</v>
      </c>
      <c r="V11" s="4">
        <v>10</v>
      </c>
      <c r="W11" s="4">
        <v>40</v>
      </c>
    </row>
    <row r="12" spans="1:23" ht="11.25" customHeight="1" x14ac:dyDescent="0.3">
      <c r="A12" s="4" t="s">
        <v>28</v>
      </c>
      <c r="B12" s="4" t="s">
        <v>35</v>
      </c>
      <c r="C12" s="4" t="s">
        <v>36</v>
      </c>
      <c r="D12" s="4" t="s">
        <v>34</v>
      </c>
      <c r="E12" s="4" t="s">
        <v>25</v>
      </c>
      <c r="F12" s="4" t="s">
        <v>25</v>
      </c>
      <c r="G12" s="4" t="s">
        <v>25</v>
      </c>
      <c r="H12" s="4" t="s">
        <v>38</v>
      </c>
      <c r="I12" s="5">
        <v>44562</v>
      </c>
      <c r="J12" s="6">
        <v>0</v>
      </c>
      <c r="K12" s="6">
        <v>0</v>
      </c>
      <c r="L12" s="6">
        <v>5.4139999999999997</v>
      </c>
      <c r="M12" s="6">
        <v>5.4139999999999997</v>
      </c>
      <c r="N12" s="6">
        <v>5.4139999999999997</v>
      </c>
      <c r="O12" s="6">
        <v>5.4139999999999997</v>
      </c>
      <c r="P12" s="6">
        <v>0</v>
      </c>
      <c r="Q12" s="4" t="s">
        <v>26</v>
      </c>
      <c r="R12" s="4">
        <v>0</v>
      </c>
      <c r="S12" s="4" t="s">
        <v>97</v>
      </c>
      <c r="T12" s="4" t="s">
        <v>268</v>
      </c>
      <c r="U12" s="4">
        <v>0</v>
      </c>
      <c r="V12" s="4">
        <v>10</v>
      </c>
      <c r="W12" s="4">
        <v>40</v>
      </c>
    </row>
    <row r="13" spans="1:23" ht="11.25" customHeight="1" x14ac:dyDescent="0.3">
      <c r="A13" s="4" t="s">
        <v>21</v>
      </c>
      <c r="B13" s="4" t="s">
        <v>35</v>
      </c>
      <c r="C13" s="4" t="s">
        <v>36</v>
      </c>
      <c r="D13" s="4" t="s">
        <v>34</v>
      </c>
      <c r="E13" s="4" t="s">
        <v>25</v>
      </c>
      <c r="F13" s="4" t="s">
        <v>25</v>
      </c>
      <c r="G13" s="4" t="s">
        <v>25</v>
      </c>
      <c r="H13" s="4" t="s">
        <v>38</v>
      </c>
      <c r="I13" s="5">
        <v>44593</v>
      </c>
      <c r="J13" s="6">
        <v>0</v>
      </c>
      <c r="K13" s="6">
        <v>0</v>
      </c>
      <c r="L13" s="6">
        <v>2134.518</v>
      </c>
      <c r="M13" s="6">
        <v>2134.518</v>
      </c>
      <c r="N13" s="6">
        <v>2134.518</v>
      </c>
      <c r="O13" s="6">
        <v>2134.518</v>
      </c>
      <c r="P13" s="6">
        <v>0</v>
      </c>
      <c r="Q13" s="4" t="s">
        <v>26</v>
      </c>
      <c r="R13" s="4">
        <v>0</v>
      </c>
      <c r="S13" s="4" t="s">
        <v>98</v>
      </c>
      <c r="T13" s="4" t="s">
        <v>269</v>
      </c>
      <c r="U13" s="4">
        <v>0</v>
      </c>
      <c r="V13" s="4">
        <v>10</v>
      </c>
      <c r="W13" s="4">
        <v>40</v>
      </c>
    </row>
    <row r="14" spans="1:23" ht="11.25" customHeight="1" x14ac:dyDescent="0.3">
      <c r="A14" s="4" t="s">
        <v>28</v>
      </c>
      <c r="B14" s="4" t="s">
        <v>35</v>
      </c>
      <c r="C14" s="4" t="s">
        <v>36</v>
      </c>
      <c r="D14" s="4" t="s">
        <v>34</v>
      </c>
      <c r="E14" s="4" t="s">
        <v>25</v>
      </c>
      <c r="F14" s="4" t="s">
        <v>25</v>
      </c>
      <c r="G14" s="4" t="s">
        <v>25</v>
      </c>
      <c r="H14" s="4" t="s">
        <v>38</v>
      </c>
      <c r="I14" s="5">
        <v>44593</v>
      </c>
      <c r="J14" s="6">
        <v>0</v>
      </c>
      <c r="K14" s="6">
        <v>0</v>
      </c>
      <c r="L14" s="6">
        <v>8.0820000000000007</v>
      </c>
      <c r="M14" s="6">
        <v>8.0820000000000007</v>
      </c>
      <c r="N14" s="6">
        <v>8.0820000000000007</v>
      </c>
      <c r="O14" s="6">
        <v>8.0820000000000007</v>
      </c>
      <c r="P14" s="6">
        <v>0</v>
      </c>
      <c r="Q14" s="4" t="s">
        <v>26</v>
      </c>
      <c r="R14" s="4">
        <v>0</v>
      </c>
      <c r="S14" s="4" t="s">
        <v>98</v>
      </c>
      <c r="T14" s="4" t="s">
        <v>269</v>
      </c>
      <c r="U14" s="4">
        <v>0</v>
      </c>
      <c r="V14" s="4">
        <v>10</v>
      </c>
      <c r="W14" s="4">
        <v>40</v>
      </c>
    </row>
    <row r="15" spans="1:23" ht="11.25" customHeight="1" x14ac:dyDescent="0.3">
      <c r="A15" s="4" t="s">
        <v>21</v>
      </c>
      <c r="B15" s="4" t="s">
        <v>35</v>
      </c>
      <c r="C15" s="4" t="s">
        <v>36</v>
      </c>
      <c r="D15" s="4" t="s">
        <v>34</v>
      </c>
      <c r="E15" s="4" t="s">
        <v>25</v>
      </c>
      <c r="F15" s="4" t="s">
        <v>25</v>
      </c>
      <c r="G15" s="4" t="s">
        <v>25</v>
      </c>
      <c r="H15" s="4" t="s">
        <v>38</v>
      </c>
      <c r="I15" s="5">
        <v>44621</v>
      </c>
      <c r="J15" s="6">
        <v>0</v>
      </c>
      <c r="K15" s="6">
        <v>0</v>
      </c>
      <c r="L15" s="6">
        <v>2624.4560000000001</v>
      </c>
      <c r="M15" s="6">
        <v>2624.4560000000001</v>
      </c>
      <c r="N15" s="6">
        <v>2624.4560000000001</v>
      </c>
      <c r="O15" s="6">
        <v>2624.4560000000001</v>
      </c>
      <c r="P15" s="6">
        <v>0</v>
      </c>
      <c r="Q15" s="4" t="s">
        <v>26</v>
      </c>
      <c r="R15" s="4">
        <v>0</v>
      </c>
      <c r="S15" s="4" t="s">
        <v>99</v>
      </c>
      <c r="T15" s="4" t="s">
        <v>270</v>
      </c>
      <c r="U15" s="4">
        <v>0</v>
      </c>
      <c r="V15" s="4">
        <v>10</v>
      </c>
      <c r="W15" s="4">
        <v>40</v>
      </c>
    </row>
    <row r="16" spans="1:23" ht="11.25" customHeight="1" x14ac:dyDescent="0.3">
      <c r="A16" s="4" t="s">
        <v>28</v>
      </c>
      <c r="B16" s="4" t="s">
        <v>35</v>
      </c>
      <c r="C16" s="4" t="s">
        <v>36</v>
      </c>
      <c r="D16" s="4" t="s">
        <v>34</v>
      </c>
      <c r="E16" s="4" t="s">
        <v>25</v>
      </c>
      <c r="F16" s="4" t="s">
        <v>25</v>
      </c>
      <c r="G16" s="4" t="s">
        <v>25</v>
      </c>
      <c r="H16" s="4" t="s">
        <v>38</v>
      </c>
      <c r="I16" s="5">
        <v>44621</v>
      </c>
      <c r="J16" s="6">
        <v>0</v>
      </c>
      <c r="K16" s="6">
        <v>0</v>
      </c>
      <c r="L16" s="6">
        <v>14.577999999999999</v>
      </c>
      <c r="M16" s="6">
        <v>14.577999999999999</v>
      </c>
      <c r="N16" s="6">
        <v>14.577999999999999</v>
      </c>
      <c r="O16" s="6">
        <v>14.577999999999999</v>
      </c>
      <c r="P16" s="6">
        <v>0</v>
      </c>
      <c r="Q16" s="4" t="s">
        <v>26</v>
      </c>
      <c r="R16" s="4">
        <v>0</v>
      </c>
      <c r="S16" s="4" t="s">
        <v>99</v>
      </c>
      <c r="T16" s="4" t="s">
        <v>270</v>
      </c>
      <c r="U16" s="4">
        <v>0</v>
      </c>
      <c r="V16" s="4">
        <v>10</v>
      </c>
      <c r="W16" s="4">
        <v>40</v>
      </c>
    </row>
    <row r="17" spans="1:23" ht="11.25" customHeight="1" x14ac:dyDescent="0.3">
      <c r="A17" s="4" t="s">
        <v>21</v>
      </c>
      <c r="B17" s="4" t="s">
        <v>35</v>
      </c>
      <c r="C17" s="4" t="s">
        <v>36</v>
      </c>
      <c r="D17" s="4" t="s">
        <v>34</v>
      </c>
      <c r="E17" s="4" t="s">
        <v>25</v>
      </c>
      <c r="F17" s="4" t="s">
        <v>25</v>
      </c>
      <c r="G17" s="4" t="s">
        <v>25</v>
      </c>
      <c r="H17" s="4" t="s">
        <v>38</v>
      </c>
      <c r="I17" s="5">
        <v>44652</v>
      </c>
      <c r="J17" s="6">
        <v>0</v>
      </c>
      <c r="K17" s="6">
        <v>0</v>
      </c>
      <c r="L17" s="6">
        <v>2329.02</v>
      </c>
      <c r="M17" s="6">
        <v>2329.02</v>
      </c>
      <c r="N17" s="6">
        <v>2329.02</v>
      </c>
      <c r="O17" s="6">
        <v>2329.02</v>
      </c>
      <c r="P17" s="6">
        <v>0</v>
      </c>
      <c r="Q17" s="4" t="s">
        <v>26</v>
      </c>
      <c r="R17" s="4">
        <v>0</v>
      </c>
      <c r="S17" s="4" t="s">
        <v>100</v>
      </c>
      <c r="T17" s="4" t="s">
        <v>271</v>
      </c>
      <c r="U17" s="4">
        <v>0</v>
      </c>
      <c r="V17" s="4">
        <v>10</v>
      </c>
      <c r="W17" s="4">
        <v>40</v>
      </c>
    </row>
    <row r="18" spans="1:23" ht="11.25" customHeight="1" x14ac:dyDescent="0.3">
      <c r="A18" s="4" t="s">
        <v>27</v>
      </c>
      <c r="B18" s="4" t="s">
        <v>35</v>
      </c>
      <c r="C18" s="4" t="s">
        <v>36</v>
      </c>
      <c r="D18" s="4" t="s">
        <v>34</v>
      </c>
      <c r="E18" s="4" t="s">
        <v>25</v>
      </c>
      <c r="F18" s="4" t="s">
        <v>25</v>
      </c>
      <c r="G18" s="4" t="s">
        <v>25</v>
      </c>
      <c r="H18" s="4" t="s">
        <v>38</v>
      </c>
      <c r="I18" s="5">
        <v>44652</v>
      </c>
      <c r="J18" s="6">
        <v>0</v>
      </c>
      <c r="K18" s="6">
        <v>0</v>
      </c>
      <c r="L18" s="6">
        <v>2.8639999999999999</v>
      </c>
      <c r="M18" s="6">
        <v>2.8639999999999999</v>
      </c>
      <c r="N18" s="6">
        <v>2.8639999999999999</v>
      </c>
      <c r="O18" s="6">
        <v>2.8639999999999999</v>
      </c>
      <c r="P18" s="6">
        <v>0</v>
      </c>
      <c r="Q18" s="4" t="s">
        <v>26</v>
      </c>
      <c r="R18" s="4">
        <v>0</v>
      </c>
      <c r="S18" s="4" t="s">
        <v>100</v>
      </c>
      <c r="T18" s="4" t="s">
        <v>271</v>
      </c>
      <c r="U18" s="4">
        <v>0</v>
      </c>
      <c r="V18" s="4">
        <v>10</v>
      </c>
      <c r="W18" s="4">
        <v>40</v>
      </c>
    </row>
    <row r="19" spans="1:23" ht="11.25" customHeight="1" x14ac:dyDescent="0.3">
      <c r="A19" s="4" t="s">
        <v>28</v>
      </c>
      <c r="B19" s="4" t="s">
        <v>35</v>
      </c>
      <c r="C19" s="4" t="s">
        <v>36</v>
      </c>
      <c r="D19" s="4" t="s">
        <v>34</v>
      </c>
      <c r="E19" s="4" t="s">
        <v>25</v>
      </c>
      <c r="F19" s="4" t="s">
        <v>25</v>
      </c>
      <c r="G19" s="4" t="s">
        <v>25</v>
      </c>
      <c r="H19" s="4" t="s">
        <v>38</v>
      </c>
      <c r="I19" s="5">
        <v>44652</v>
      </c>
      <c r="J19" s="6">
        <v>0</v>
      </c>
      <c r="K19" s="6">
        <v>0</v>
      </c>
      <c r="L19" s="6">
        <v>15.51</v>
      </c>
      <c r="M19" s="6">
        <v>15.51</v>
      </c>
      <c r="N19" s="6">
        <v>15.51</v>
      </c>
      <c r="O19" s="6">
        <v>15.51</v>
      </c>
      <c r="P19" s="6">
        <v>0</v>
      </c>
      <c r="Q19" s="4" t="s">
        <v>26</v>
      </c>
      <c r="R19" s="4">
        <v>0</v>
      </c>
      <c r="S19" s="4" t="s">
        <v>100</v>
      </c>
      <c r="T19" s="4" t="s">
        <v>271</v>
      </c>
      <c r="U19" s="4">
        <v>0</v>
      </c>
      <c r="V19" s="4">
        <v>10</v>
      </c>
      <c r="W19" s="4">
        <v>40</v>
      </c>
    </row>
    <row r="20" spans="1:23" ht="11.25" customHeight="1" x14ac:dyDescent="0.3">
      <c r="A20" s="4" t="s">
        <v>21</v>
      </c>
      <c r="B20" s="4" t="s">
        <v>35</v>
      </c>
      <c r="C20" s="4" t="s">
        <v>36</v>
      </c>
      <c r="D20" s="4" t="s">
        <v>34</v>
      </c>
      <c r="E20" s="4" t="s">
        <v>25</v>
      </c>
      <c r="F20" s="4" t="s">
        <v>25</v>
      </c>
      <c r="G20" s="4" t="s">
        <v>25</v>
      </c>
      <c r="H20" s="4" t="s">
        <v>38</v>
      </c>
      <c r="I20" s="5">
        <v>44682</v>
      </c>
      <c r="J20" s="6">
        <v>0</v>
      </c>
      <c r="K20" s="6">
        <v>0</v>
      </c>
      <c r="L20" s="6">
        <v>2469.2080000000001</v>
      </c>
      <c r="M20" s="6">
        <v>2469.2080000000001</v>
      </c>
      <c r="N20" s="6">
        <v>2469.2080000000001</v>
      </c>
      <c r="O20" s="6">
        <v>2469.2080000000001</v>
      </c>
      <c r="P20" s="6">
        <v>0</v>
      </c>
      <c r="Q20" s="4" t="s">
        <v>26</v>
      </c>
      <c r="R20" s="4">
        <v>0</v>
      </c>
      <c r="S20" s="4" t="s">
        <v>101</v>
      </c>
      <c r="T20" s="4" t="s">
        <v>272</v>
      </c>
      <c r="U20" s="4">
        <v>0</v>
      </c>
      <c r="V20" s="4">
        <v>10</v>
      </c>
      <c r="W20" s="4">
        <v>40</v>
      </c>
    </row>
    <row r="21" spans="1:23" ht="11.25" customHeight="1" x14ac:dyDescent="0.3">
      <c r="A21" s="4" t="s">
        <v>28</v>
      </c>
      <c r="B21" s="4" t="s">
        <v>35</v>
      </c>
      <c r="C21" s="4" t="s">
        <v>36</v>
      </c>
      <c r="D21" s="4" t="s">
        <v>34</v>
      </c>
      <c r="E21" s="4" t="s">
        <v>25</v>
      </c>
      <c r="F21" s="4" t="s">
        <v>25</v>
      </c>
      <c r="G21" s="4" t="s">
        <v>25</v>
      </c>
      <c r="H21" s="4" t="s">
        <v>38</v>
      </c>
      <c r="I21" s="5">
        <v>44682</v>
      </c>
      <c r="J21" s="6">
        <v>0</v>
      </c>
      <c r="K21" s="6">
        <v>0</v>
      </c>
      <c r="L21" s="6">
        <v>17.451000000000001</v>
      </c>
      <c r="M21" s="6">
        <v>17.451000000000001</v>
      </c>
      <c r="N21" s="6">
        <v>17.451000000000001</v>
      </c>
      <c r="O21" s="6">
        <v>17.451000000000001</v>
      </c>
      <c r="P21" s="6">
        <v>0</v>
      </c>
      <c r="Q21" s="4" t="s">
        <v>26</v>
      </c>
      <c r="R21" s="4">
        <v>0</v>
      </c>
      <c r="S21" s="4" t="s">
        <v>101</v>
      </c>
      <c r="T21" s="4" t="s">
        <v>272</v>
      </c>
      <c r="U21" s="4">
        <v>0</v>
      </c>
      <c r="V21" s="4">
        <v>10</v>
      </c>
      <c r="W21" s="4">
        <v>40</v>
      </c>
    </row>
    <row r="22" spans="1:23" ht="11.25" customHeight="1" x14ac:dyDescent="0.3">
      <c r="A22" s="4" t="s">
        <v>21</v>
      </c>
      <c r="B22" s="4" t="s">
        <v>35</v>
      </c>
      <c r="C22" s="4" t="s">
        <v>36</v>
      </c>
      <c r="D22" s="4" t="s">
        <v>34</v>
      </c>
      <c r="E22" s="4" t="s">
        <v>25</v>
      </c>
      <c r="F22" s="4" t="s">
        <v>25</v>
      </c>
      <c r="G22" s="4" t="s">
        <v>25</v>
      </c>
      <c r="H22" s="4" t="s">
        <v>38</v>
      </c>
      <c r="I22" s="5">
        <v>44713</v>
      </c>
      <c r="J22" s="6">
        <v>0</v>
      </c>
      <c r="K22" s="6">
        <v>0</v>
      </c>
      <c r="L22" s="6">
        <v>2419.5059999999999</v>
      </c>
      <c r="M22" s="6">
        <v>2419.5059999999999</v>
      </c>
      <c r="N22" s="6">
        <v>2419.5059999999999</v>
      </c>
      <c r="O22" s="6">
        <v>2419.5059999999999</v>
      </c>
      <c r="P22" s="6">
        <v>0</v>
      </c>
      <c r="Q22" s="4" t="s">
        <v>26</v>
      </c>
      <c r="R22" s="4">
        <v>0</v>
      </c>
      <c r="S22" s="4" t="s">
        <v>102</v>
      </c>
      <c r="T22" s="4" t="s">
        <v>273</v>
      </c>
      <c r="U22" s="4">
        <v>0</v>
      </c>
      <c r="V22" s="4">
        <v>10</v>
      </c>
      <c r="W22" s="4">
        <v>40</v>
      </c>
    </row>
    <row r="23" spans="1:23" ht="11.25" customHeight="1" x14ac:dyDescent="0.3">
      <c r="A23" s="4" t="s">
        <v>28</v>
      </c>
      <c r="B23" s="4" t="s">
        <v>35</v>
      </c>
      <c r="C23" s="4" t="s">
        <v>36</v>
      </c>
      <c r="D23" s="4" t="s">
        <v>34</v>
      </c>
      <c r="E23" s="4" t="s">
        <v>25</v>
      </c>
      <c r="F23" s="4" t="s">
        <v>25</v>
      </c>
      <c r="G23" s="4" t="s">
        <v>25</v>
      </c>
      <c r="H23" s="4" t="s">
        <v>38</v>
      </c>
      <c r="I23" s="5">
        <v>44713</v>
      </c>
      <c r="J23" s="6">
        <v>0</v>
      </c>
      <c r="K23" s="6">
        <v>0</v>
      </c>
      <c r="L23" s="6">
        <v>18.134</v>
      </c>
      <c r="M23" s="6">
        <v>18.134</v>
      </c>
      <c r="N23" s="6">
        <v>18.134</v>
      </c>
      <c r="O23" s="6">
        <v>18.134</v>
      </c>
      <c r="P23" s="6">
        <v>0</v>
      </c>
      <c r="Q23" s="4" t="s">
        <v>26</v>
      </c>
      <c r="R23" s="4">
        <v>0</v>
      </c>
      <c r="S23" s="4" t="s">
        <v>102</v>
      </c>
      <c r="T23" s="4" t="s">
        <v>273</v>
      </c>
      <c r="U23" s="4">
        <v>0</v>
      </c>
      <c r="V23" s="4">
        <v>10</v>
      </c>
      <c r="W23" s="4">
        <v>40</v>
      </c>
    </row>
    <row r="24" spans="1:23" ht="11.25" customHeight="1" x14ac:dyDescent="0.3">
      <c r="A24" s="4" t="s">
        <v>21</v>
      </c>
      <c r="B24" s="4" t="s">
        <v>35</v>
      </c>
      <c r="C24" s="4" t="s">
        <v>36</v>
      </c>
      <c r="D24" s="4" t="s">
        <v>34</v>
      </c>
      <c r="E24" s="4" t="s">
        <v>25</v>
      </c>
      <c r="F24" s="4" t="s">
        <v>25</v>
      </c>
      <c r="G24" s="4" t="s">
        <v>25</v>
      </c>
      <c r="H24" s="4" t="s">
        <v>38</v>
      </c>
      <c r="I24" s="5">
        <v>44743</v>
      </c>
      <c r="J24" s="6">
        <v>0</v>
      </c>
      <c r="K24" s="6">
        <v>0</v>
      </c>
      <c r="L24" s="6">
        <v>2235.3539999999998</v>
      </c>
      <c r="M24" s="6">
        <v>2235.3539999999998</v>
      </c>
      <c r="N24" s="6">
        <v>2235.3539999999998</v>
      </c>
      <c r="O24" s="6">
        <v>2235.3539999999998</v>
      </c>
      <c r="P24" s="6">
        <v>0</v>
      </c>
      <c r="Q24" s="4" t="s">
        <v>26</v>
      </c>
      <c r="R24" s="4">
        <v>0</v>
      </c>
      <c r="S24" s="4" t="s">
        <v>103</v>
      </c>
      <c r="T24" s="4" t="s">
        <v>274</v>
      </c>
      <c r="U24" s="4">
        <v>0</v>
      </c>
      <c r="V24" s="4">
        <v>10</v>
      </c>
      <c r="W24" s="4">
        <v>40</v>
      </c>
    </row>
    <row r="25" spans="1:23" ht="11.25" customHeight="1" x14ac:dyDescent="0.3">
      <c r="A25" s="4" t="s">
        <v>28</v>
      </c>
      <c r="B25" s="4" t="s">
        <v>35</v>
      </c>
      <c r="C25" s="4" t="s">
        <v>36</v>
      </c>
      <c r="D25" s="4" t="s">
        <v>34</v>
      </c>
      <c r="E25" s="4" t="s">
        <v>25</v>
      </c>
      <c r="F25" s="4" t="s">
        <v>25</v>
      </c>
      <c r="G25" s="4" t="s">
        <v>25</v>
      </c>
      <c r="H25" s="4" t="s">
        <v>38</v>
      </c>
      <c r="I25" s="5">
        <v>44743</v>
      </c>
      <c r="J25" s="6">
        <v>0</v>
      </c>
      <c r="K25" s="6">
        <v>0</v>
      </c>
      <c r="L25" s="6">
        <v>15.888999999999999</v>
      </c>
      <c r="M25" s="6">
        <v>15.888999999999999</v>
      </c>
      <c r="N25" s="6">
        <v>15.888999999999999</v>
      </c>
      <c r="O25" s="6">
        <v>15.888999999999999</v>
      </c>
      <c r="P25" s="6">
        <v>0</v>
      </c>
      <c r="Q25" s="4" t="s">
        <v>26</v>
      </c>
      <c r="R25" s="4">
        <v>0</v>
      </c>
      <c r="S25" s="4" t="s">
        <v>103</v>
      </c>
      <c r="T25" s="4" t="s">
        <v>274</v>
      </c>
      <c r="U25" s="4">
        <v>0</v>
      </c>
      <c r="V25" s="4">
        <v>10</v>
      </c>
      <c r="W25" s="4">
        <v>40</v>
      </c>
    </row>
    <row r="26" spans="1:23" ht="11.25" customHeight="1" x14ac:dyDescent="0.3">
      <c r="A26" s="4" t="s">
        <v>52</v>
      </c>
      <c r="B26" s="4" t="s">
        <v>35</v>
      </c>
      <c r="C26" s="4" t="s">
        <v>36</v>
      </c>
      <c r="D26" s="4" t="s">
        <v>34</v>
      </c>
      <c r="E26" s="4" t="s">
        <v>25</v>
      </c>
      <c r="F26" s="4" t="s">
        <v>25</v>
      </c>
      <c r="G26" s="4" t="s">
        <v>25</v>
      </c>
      <c r="H26" s="4" t="s">
        <v>38</v>
      </c>
      <c r="I26" s="5">
        <v>44774</v>
      </c>
      <c r="J26" s="6">
        <v>0</v>
      </c>
      <c r="K26" s="6">
        <v>0</v>
      </c>
      <c r="L26" s="6">
        <v>2235.3539999999998</v>
      </c>
      <c r="M26" s="6">
        <v>2235.3539999999998</v>
      </c>
      <c r="N26" s="6">
        <v>2235.3539999999998</v>
      </c>
      <c r="O26" s="6">
        <v>2235.3539999999998</v>
      </c>
      <c r="P26" s="6">
        <v>0</v>
      </c>
      <c r="Q26" s="4" t="s">
        <v>26</v>
      </c>
      <c r="R26" s="4">
        <v>0</v>
      </c>
      <c r="S26" s="4" t="s">
        <v>104</v>
      </c>
      <c r="T26" s="4" t="s">
        <v>275</v>
      </c>
      <c r="U26" s="4">
        <v>0</v>
      </c>
      <c r="V26" s="4">
        <v>10</v>
      </c>
      <c r="W26" s="4">
        <v>40</v>
      </c>
    </row>
    <row r="27" spans="1:23" ht="11.25" customHeight="1" x14ac:dyDescent="0.3">
      <c r="A27" s="4" t="s">
        <v>52</v>
      </c>
      <c r="B27" s="4" t="s">
        <v>35</v>
      </c>
      <c r="C27" s="4" t="s">
        <v>36</v>
      </c>
      <c r="D27" s="4" t="s">
        <v>34</v>
      </c>
      <c r="E27" s="4" t="s">
        <v>25</v>
      </c>
      <c r="F27" s="4" t="s">
        <v>25</v>
      </c>
      <c r="G27" s="4" t="s">
        <v>25</v>
      </c>
      <c r="H27" s="4" t="s">
        <v>38</v>
      </c>
      <c r="I27" s="5">
        <v>44774</v>
      </c>
      <c r="J27" s="6">
        <v>0</v>
      </c>
      <c r="K27" s="6">
        <v>0</v>
      </c>
      <c r="L27" s="6">
        <v>15.888999999999999</v>
      </c>
      <c r="M27" s="6">
        <v>15.888999999999999</v>
      </c>
      <c r="N27" s="6">
        <v>15.888999999999999</v>
      </c>
      <c r="O27" s="6">
        <v>15.888999999999999</v>
      </c>
      <c r="P27" s="6">
        <v>0</v>
      </c>
      <c r="Q27" s="4" t="s">
        <v>26</v>
      </c>
      <c r="R27" s="4">
        <v>0</v>
      </c>
      <c r="S27" s="4" t="s">
        <v>104</v>
      </c>
      <c r="T27" s="4" t="s">
        <v>275</v>
      </c>
      <c r="U27" s="4">
        <v>0</v>
      </c>
      <c r="V27" s="4">
        <v>10</v>
      </c>
      <c r="W27" s="4">
        <v>40</v>
      </c>
    </row>
    <row r="28" spans="1:23" ht="11.25" customHeight="1" x14ac:dyDescent="0.3">
      <c r="A28" s="4" t="s">
        <v>21</v>
      </c>
      <c r="B28" s="4" t="s">
        <v>35</v>
      </c>
      <c r="C28" s="4" t="s">
        <v>36</v>
      </c>
      <c r="D28" s="4" t="s">
        <v>34</v>
      </c>
      <c r="E28" s="4" t="s">
        <v>25</v>
      </c>
      <c r="F28" s="4" t="s">
        <v>25</v>
      </c>
      <c r="G28" s="4" t="s">
        <v>25</v>
      </c>
      <c r="H28" s="4" t="s">
        <v>25</v>
      </c>
      <c r="I28" s="5">
        <v>44440</v>
      </c>
      <c r="J28" s="6">
        <v>10772</v>
      </c>
      <c r="K28" s="6">
        <v>10772</v>
      </c>
      <c r="L28" s="6">
        <v>0</v>
      </c>
      <c r="M28" s="6">
        <v>0</v>
      </c>
      <c r="N28" s="6">
        <v>0</v>
      </c>
      <c r="O28" s="6">
        <v>0</v>
      </c>
      <c r="P28" s="6">
        <v>26</v>
      </c>
      <c r="Q28" s="4" t="s">
        <v>26</v>
      </c>
      <c r="R28" s="4">
        <v>0</v>
      </c>
      <c r="S28" s="4" t="s">
        <v>105</v>
      </c>
      <c r="U28" s="4">
        <v>27</v>
      </c>
      <c r="V28" s="4">
        <v>0</v>
      </c>
      <c r="W28" s="4">
        <v>0</v>
      </c>
    </row>
    <row r="29" spans="1:23" ht="11.25" customHeight="1" x14ac:dyDescent="0.3">
      <c r="A29" s="4" t="s">
        <v>21</v>
      </c>
      <c r="B29" s="4" t="s">
        <v>35</v>
      </c>
      <c r="C29" s="4" t="s">
        <v>36</v>
      </c>
      <c r="D29" s="4" t="s">
        <v>34</v>
      </c>
      <c r="E29" s="4" t="s">
        <v>25</v>
      </c>
      <c r="F29" s="4" t="s">
        <v>25</v>
      </c>
      <c r="G29" s="4" t="s">
        <v>25</v>
      </c>
      <c r="H29" s="4" t="s">
        <v>25</v>
      </c>
      <c r="I29" s="5">
        <v>44470</v>
      </c>
      <c r="J29" s="6">
        <v>10867</v>
      </c>
      <c r="K29" s="6">
        <v>10867</v>
      </c>
      <c r="L29" s="6">
        <v>0</v>
      </c>
      <c r="M29" s="6">
        <v>0</v>
      </c>
      <c r="N29" s="6">
        <v>0</v>
      </c>
      <c r="O29" s="6">
        <v>0</v>
      </c>
      <c r="P29" s="6">
        <v>26</v>
      </c>
      <c r="Q29" s="4" t="s">
        <v>26</v>
      </c>
      <c r="R29" s="4">
        <v>0</v>
      </c>
      <c r="S29" s="4" t="s">
        <v>106</v>
      </c>
      <c r="U29" s="4">
        <v>27</v>
      </c>
      <c r="V29" s="4">
        <v>0</v>
      </c>
      <c r="W29" s="4">
        <v>0</v>
      </c>
    </row>
    <row r="30" spans="1:23" ht="11.25" customHeight="1" x14ac:dyDescent="0.3">
      <c r="A30" s="4" t="s">
        <v>21</v>
      </c>
      <c r="B30" s="4" t="s">
        <v>35</v>
      </c>
      <c r="C30" s="4" t="s">
        <v>36</v>
      </c>
      <c r="D30" s="4" t="s">
        <v>34</v>
      </c>
      <c r="E30" s="4" t="s">
        <v>25</v>
      </c>
      <c r="F30" s="4" t="s">
        <v>25</v>
      </c>
      <c r="G30" s="4" t="s">
        <v>25</v>
      </c>
      <c r="H30" s="4" t="s">
        <v>25</v>
      </c>
      <c r="I30" s="5">
        <v>44501</v>
      </c>
      <c r="J30" s="6">
        <v>10919</v>
      </c>
      <c r="K30" s="6">
        <v>10919</v>
      </c>
      <c r="L30" s="6">
        <v>0</v>
      </c>
      <c r="M30" s="6">
        <v>0</v>
      </c>
      <c r="N30" s="6">
        <v>0</v>
      </c>
      <c r="O30" s="6">
        <v>0</v>
      </c>
      <c r="P30" s="6">
        <v>26</v>
      </c>
      <c r="Q30" s="4" t="s">
        <v>26</v>
      </c>
      <c r="R30" s="4">
        <v>0</v>
      </c>
      <c r="S30" s="4" t="s">
        <v>107</v>
      </c>
      <c r="U30" s="4">
        <v>27</v>
      </c>
      <c r="V30" s="4">
        <v>0</v>
      </c>
      <c r="W30" s="4">
        <v>0</v>
      </c>
    </row>
    <row r="31" spans="1:23" ht="11.25" customHeight="1" x14ac:dyDescent="0.3">
      <c r="A31" s="4" t="s">
        <v>21</v>
      </c>
      <c r="B31" s="4" t="s">
        <v>35</v>
      </c>
      <c r="C31" s="4" t="s">
        <v>36</v>
      </c>
      <c r="D31" s="4" t="s">
        <v>34</v>
      </c>
      <c r="E31" s="4" t="s">
        <v>25</v>
      </c>
      <c r="F31" s="4" t="s">
        <v>25</v>
      </c>
      <c r="G31" s="4" t="s">
        <v>25</v>
      </c>
      <c r="H31" s="4" t="s">
        <v>25</v>
      </c>
      <c r="I31" s="5">
        <v>44531</v>
      </c>
      <c r="J31" s="6">
        <v>10745</v>
      </c>
      <c r="K31" s="6">
        <v>10745</v>
      </c>
      <c r="L31" s="6">
        <v>0</v>
      </c>
      <c r="M31" s="6">
        <v>0</v>
      </c>
      <c r="N31" s="6">
        <v>0</v>
      </c>
      <c r="O31" s="6">
        <v>0</v>
      </c>
      <c r="P31" s="6">
        <v>26</v>
      </c>
      <c r="Q31" s="4" t="s">
        <v>26</v>
      </c>
      <c r="R31" s="4">
        <v>0</v>
      </c>
      <c r="S31" s="4" t="s">
        <v>108</v>
      </c>
      <c r="U31" s="4">
        <v>27</v>
      </c>
      <c r="V31" s="4">
        <v>0</v>
      </c>
      <c r="W31" s="4">
        <v>0</v>
      </c>
    </row>
    <row r="32" spans="1:23" ht="11.25" customHeight="1" x14ac:dyDescent="0.3">
      <c r="A32" s="4" t="s">
        <v>27</v>
      </c>
      <c r="B32" s="4" t="s">
        <v>35</v>
      </c>
      <c r="C32" s="4" t="s">
        <v>36</v>
      </c>
      <c r="D32" s="4" t="s">
        <v>34</v>
      </c>
      <c r="E32" s="4" t="s">
        <v>25</v>
      </c>
      <c r="F32" s="4" t="s">
        <v>25</v>
      </c>
      <c r="G32" s="4" t="s">
        <v>25</v>
      </c>
      <c r="H32" s="4" t="s">
        <v>25</v>
      </c>
      <c r="I32" s="5">
        <v>44531</v>
      </c>
      <c r="J32" s="6">
        <v>-25</v>
      </c>
      <c r="K32" s="6">
        <v>-25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4" t="s">
        <v>26</v>
      </c>
      <c r="R32" s="4">
        <v>0</v>
      </c>
      <c r="S32" s="4" t="s">
        <v>108</v>
      </c>
      <c r="U32" s="4">
        <v>27</v>
      </c>
      <c r="V32" s="4">
        <v>0</v>
      </c>
      <c r="W32" s="4">
        <v>0</v>
      </c>
    </row>
    <row r="33" spans="1:23" ht="11.25" customHeight="1" x14ac:dyDescent="0.3">
      <c r="A33" s="4" t="s">
        <v>28</v>
      </c>
      <c r="B33" s="4" t="s">
        <v>35</v>
      </c>
      <c r="C33" s="4" t="s">
        <v>36</v>
      </c>
      <c r="D33" s="4" t="s">
        <v>34</v>
      </c>
      <c r="E33" s="4" t="s">
        <v>25</v>
      </c>
      <c r="F33" s="4" t="s">
        <v>25</v>
      </c>
      <c r="G33" s="4" t="s">
        <v>25</v>
      </c>
      <c r="H33" s="4" t="s">
        <v>25</v>
      </c>
      <c r="I33" s="5">
        <v>44531</v>
      </c>
      <c r="J33" s="6">
        <v>60</v>
      </c>
      <c r="K33" s="6">
        <v>60</v>
      </c>
      <c r="L33" s="6">
        <v>0</v>
      </c>
      <c r="M33" s="6">
        <v>0</v>
      </c>
      <c r="N33" s="6">
        <v>0</v>
      </c>
      <c r="O33" s="6">
        <v>0</v>
      </c>
      <c r="P33" s="6">
        <v>1</v>
      </c>
      <c r="Q33" s="4" t="s">
        <v>26</v>
      </c>
      <c r="R33" s="4">
        <v>0</v>
      </c>
      <c r="S33" s="4" t="s">
        <v>108</v>
      </c>
      <c r="U33" s="4">
        <v>27</v>
      </c>
      <c r="V33" s="4">
        <v>0</v>
      </c>
      <c r="W33" s="4">
        <v>0</v>
      </c>
    </row>
    <row r="34" spans="1:23" ht="11.25" customHeight="1" x14ac:dyDescent="0.3">
      <c r="A34" s="4" t="s">
        <v>21</v>
      </c>
      <c r="B34" s="4" t="s">
        <v>35</v>
      </c>
      <c r="C34" s="4" t="s">
        <v>36</v>
      </c>
      <c r="D34" s="4" t="s">
        <v>34</v>
      </c>
      <c r="E34" s="4" t="s">
        <v>25</v>
      </c>
      <c r="F34" s="4" t="s">
        <v>25</v>
      </c>
      <c r="G34" s="4" t="s">
        <v>25</v>
      </c>
      <c r="H34" s="4" t="s">
        <v>25</v>
      </c>
      <c r="I34" s="5">
        <v>44562</v>
      </c>
      <c r="J34" s="6">
        <v>10438</v>
      </c>
      <c r="K34" s="6">
        <v>10438</v>
      </c>
      <c r="L34" s="6">
        <v>0</v>
      </c>
      <c r="M34" s="6">
        <v>0</v>
      </c>
      <c r="N34" s="6">
        <v>0</v>
      </c>
      <c r="O34" s="6">
        <v>0</v>
      </c>
      <c r="P34" s="6">
        <v>26</v>
      </c>
      <c r="Q34" s="4" t="s">
        <v>26</v>
      </c>
      <c r="R34" s="4">
        <v>0</v>
      </c>
      <c r="S34" s="4" t="s">
        <v>109</v>
      </c>
      <c r="U34" s="4">
        <v>27</v>
      </c>
      <c r="V34" s="4">
        <v>0</v>
      </c>
      <c r="W34" s="4">
        <v>0</v>
      </c>
    </row>
    <row r="35" spans="1:23" ht="11.25" customHeight="1" x14ac:dyDescent="0.3">
      <c r="A35" s="4" t="s">
        <v>28</v>
      </c>
      <c r="B35" s="4" t="s">
        <v>35</v>
      </c>
      <c r="C35" s="4" t="s">
        <v>36</v>
      </c>
      <c r="D35" s="4" t="s">
        <v>34</v>
      </c>
      <c r="E35" s="4" t="s">
        <v>25</v>
      </c>
      <c r="F35" s="4" t="s">
        <v>25</v>
      </c>
      <c r="G35" s="4" t="s">
        <v>25</v>
      </c>
      <c r="H35" s="4" t="s">
        <v>25</v>
      </c>
      <c r="I35" s="5">
        <v>44562</v>
      </c>
      <c r="J35" s="6">
        <v>57</v>
      </c>
      <c r="K35" s="6">
        <v>57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4" t="s">
        <v>26</v>
      </c>
      <c r="R35" s="4">
        <v>0</v>
      </c>
      <c r="S35" s="4" t="s">
        <v>109</v>
      </c>
      <c r="U35" s="4">
        <v>27</v>
      </c>
      <c r="V35" s="4">
        <v>0</v>
      </c>
      <c r="W35" s="4">
        <v>0</v>
      </c>
    </row>
    <row r="36" spans="1:23" ht="11.25" customHeight="1" x14ac:dyDescent="0.3">
      <c r="A36" s="4" t="s">
        <v>21</v>
      </c>
      <c r="B36" s="4" t="s">
        <v>35</v>
      </c>
      <c r="C36" s="4" t="s">
        <v>36</v>
      </c>
      <c r="D36" s="4" t="s">
        <v>34</v>
      </c>
      <c r="E36" s="4" t="s">
        <v>25</v>
      </c>
      <c r="F36" s="4" t="s">
        <v>25</v>
      </c>
      <c r="G36" s="4" t="s">
        <v>25</v>
      </c>
      <c r="H36" s="4" t="s">
        <v>25</v>
      </c>
      <c r="I36" s="5">
        <v>44593</v>
      </c>
      <c r="J36" s="6">
        <v>10722</v>
      </c>
      <c r="K36" s="6">
        <v>10722</v>
      </c>
      <c r="L36" s="6">
        <v>0</v>
      </c>
      <c r="M36" s="6">
        <v>0</v>
      </c>
      <c r="N36" s="6">
        <v>0</v>
      </c>
      <c r="O36" s="6">
        <v>0</v>
      </c>
      <c r="P36" s="6">
        <v>26</v>
      </c>
      <c r="Q36" s="4" t="s">
        <v>26</v>
      </c>
      <c r="R36" s="4">
        <v>0</v>
      </c>
      <c r="S36" s="4" t="s">
        <v>110</v>
      </c>
      <c r="U36" s="4">
        <v>27</v>
      </c>
      <c r="V36" s="4">
        <v>0</v>
      </c>
      <c r="W36" s="4">
        <v>0</v>
      </c>
    </row>
    <row r="37" spans="1:23" ht="11.25" customHeight="1" x14ac:dyDescent="0.3">
      <c r="A37" s="4" t="s">
        <v>28</v>
      </c>
      <c r="B37" s="4" t="s">
        <v>35</v>
      </c>
      <c r="C37" s="4" t="s">
        <v>36</v>
      </c>
      <c r="D37" s="4" t="s">
        <v>34</v>
      </c>
      <c r="E37" s="4" t="s">
        <v>25</v>
      </c>
      <c r="F37" s="4" t="s">
        <v>25</v>
      </c>
      <c r="G37" s="4" t="s">
        <v>25</v>
      </c>
      <c r="H37" s="4" t="s">
        <v>25</v>
      </c>
      <c r="I37" s="5">
        <v>44593</v>
      </c>
      <c r="J37" s="6">
        <v>100</v>
      </c>
      <c r="K37" s="6">
        <v>100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4" t="s">
        <v>26</v>
      </c>
      <c r="R37" s="4">
        <v>0</v>
      </c>
      <c r="S37" s="4" t="s">
        <v>110</v>
      </c>
      <c r="U37" s="4">
        <v>27</v>
      </c>
      <c r="V37" s="4">
        <v>0</v>
      </c>
      <c r="W37" s="4">
        <v>0</v>
      </c>
    </row>
    <row r="38" spans="1:23" ht="11.25" customHeight="1" x14ac:dyDescent="0.3">
      <c r="A38" s="4" t="s">
        <v>21</v>
      </c>
      <c r="B38" s="4" t="s">
        <v>35</v>
      </c>
      <c r="C38" s="4" t="s">
        <v>36</v>
      </c>
      <c r="D38" s="4" t="s">
        <v>34</v>
      </c>
      <c r="E38" s="4" t="s">
        <v>25</v>
      </c>
      <c r="F38" s="4" t="s">
        <v>25</v>
      </c>
      <c r="G38" s="4" t="s">
        <v>25</v>
      </c>
      <c r="H38" s="4" t="s">
        <v>25</v>
      </c>
      <c r="I38" s="5">
        <v>44621</v>
      </c>
      <c r="J38" s="6">
        <v>10545</v>
      </c>
      <c r="K38" s="6">
        <v>10545</v>
      </c>
      <c r="L38" s="6">
        <v>0</v>
      </c>
      <c r="M38" s="6">
        <v>0</v>
      </c>
      <c r="N38" s="6">
        <v>0</v>
      </c>
      <c r="O38" s="6">
        <v>0</v>
      </c>
      <c r="P38" s="6">
        <v>26</v>
      </c>
      <c r="Q38" s="4" t="s">
        <v>26</v>
      </c>
      <c r="R38" s="4">
        <v>0</v>
      </c>
      <c r="S38" s="4" t="s">
        <v>111</v>
      </c>
      <c r="U38" s="4">
        <v>27</v>
      </c>
      <c r="V38" s="4">
        <v>0</v>
      </c>
      <c r="W38" s="4">
        <v>0</v>
      </c>
    </row>
    <row r="39" spans="1:23" ht="11.25" customHeight="1" x14ac:dyDescent="0.3">
      <c r="A39" s="4" t="s">
        <v>28</v>
      </c>
      <c r="B39" s="4" t="s">
        <v>35</v>
      </c>
      <c r="C39" s="4" t="s">
        <v>36</v>
      </c>
      <c r="D39" s="4" t="s">
        <v>34</v>
      </c>
      <c r="E39" s="4" t="s">
        <v>25</v>
      </c>
      <c r="F39" s="4" t="s">
        <v>25</v>
      </c>
      <c r="G39" s="4" t="s">
        <v>25</v>
      </c>
      <c r="H39" s="4" t="s">
        <v>25</v>
      </c>
      <c r="I39" s="5">
        <v>44621</v>
      </c>
      <c r="J39" s="6">
        <v>100</v>
      </c>
      <c r="K39" s="6">
        <v>100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4" t="s">
        <v>26</v>
      </c>
      <c r="R39" s="4">
        <v>0</v>
      </c>
      <c r="S39" s="4" t="s">
        <v>111</v>
      </c>
      <c r="U39" s="4">
        <v>27</v>
      </c>
      <c r="V39" s="4">
        <v>0</v>
      </c>
      <c r="W39" s="4">
        <v>0</v>
      </c>
    </row>
    <row r="40" spans="1:23" ht="11.25" customHeight="1" x14ac:dyDescent="0.3">
      <c r="A40" s="4" t="s">
        <v>21</v>
      </c>
      <c r="B40" s="4" t="s">
        <v>35</v>
      </c>
      <c r="C40" s="4" t="s">
        <v>36</v>
      </c>
      <c r="D40" s="4" t="s">
        <v>34</v>
      </c>
      <c r="E40" s="4" t="s">
        <v>25</v>
      </c>
      <c r="F40" s="4" t="s">
        <v>25</v>
      </c>
      <c r="G40" s="4" t="s">
        <v>25</v>
      </c>
      <c r="H40" s="4" t="s">
        <v>25</v>
      </c>
      <c r="I40" s="5">
        <v>44652</v>
      </c>
      <c r="J40" s="6">
        <v>10849</v>
      </c>
      <c r="K40" s="6">
        <v>10849</v>
      </c>
      <c r="L40" s="6">
        <v>0</v>
      </c>
      <c r="M40" s="6">
        <v>0</v>
      </c>
      <c r="N40" s="6">
        <v>0</v>
      </c>
      <c r="O40" s="6">
        <v>0</v>
      </c>
      <c r="P40" s="6">
        <v>26</v>
      </c>
      <c r="Q40" s="4" t="s">
        <v>26</v>
      </c>
      <c r="R40" s="4">
        <v>0</v>
      </c>
      <c r="S40" s="4" t="s">
        <v>112</v>
      </c>
      <c r="U40" s="4">
        <v>27</v>
      </c>
      <c r="V40" s="4">
        <v>0</v>
      </c>
      <c r="W40" s="4">
        <v>0</v>
      </c>
    </row>
    <row r="41" spans="1:23" ht="11.25" customHeight="1" x14ac:dyDescent="0.3">
      <c r="A41" s="4" t="s">
        <v>28</v>
      </c>
      <c r="B41" s="4" t="s">
        <v>35</v>
      </c>
      <c r="C41" s="4" t="s">
        <v>36</v>
      </c>
      <c r="D41" s="4" t="s">
        <v>34</v>
      </c>
      <c r="E41" s="4" t="s">
        <v>25</v>
      </c>
      <c r="F41" s="4" t="s">
        <v>25</v>
      </c>
      <c r="G41" s="4" t="s">
        <v>25</v>
      </c>
      <c r="H41" s="4" t="s">
        <v>25</v>
      </c>
      <c r="I41" s="5">
        <v>44652</v>
      </c>
      <c r="J41" s="6">
        <v>100</v>
      </c>
      <c r="K41" s="6">
        <v>100</v>
      </c>
      <c r="L41" s="6">
        <v>0</v>
      </c>
      <c r="M41" s="6">
        <v>0</v>
      </c>
      <c r="N41" s="6">
        <v>0</v>
      </c>
      <c r="O41" s="6">
        <v>0</v>
      </c>
      <c r="P41" s="6">
        <v>1</v>
      </c>
      <c r="Q41" s="4" t="s">
        <v>26</v>
      </c>
      <c r="R41" s="4">
        <v>0</v>
      </c>
      <c r="S41" s="4" t="s">
        <v>112</v>
      </c>
      <c r="U41" s="4">
        <v>27</v>
      </c>
      <c r="V41" s="4">
        <v>0</v>
      </c>
      <c r="W41" s="4">
        <v>0</v>
      </c>
    </row>
    <row r="42" spans="1:23" ht="11.25" customHeight="1" x14ac:dyDescent="0.3">
      <c r="A42" s="4" t="s">
        <v>21</v>
      </c>
      <c r="B42" s="4" t="s">
        <v>35</v>
      </c>
      <c r="C42" s="4" t="s">
        <v>36</v>
      </c>
      <c r="D42" s="4" t="s">
        <v>34</v>
      </c>
      <c r="E42" s="4" t="s">
        <v>25</v>
      </c>
      <c r="F42" s="4" t="s">
        <v>25</v>
      </c>
      <c r="G42" s="4" t="s">
        <v>25</v>
      </c>
      <c r="H42" s="4" t="s">
        <v>25</v>
      </c>
      <c r="I42" s="5">
        <v>44682</v>
      </c>
      <c r="J42" s="6">
        <v>10370</v>
      </c>
      <c r="K42" s="6">
        <v>10370</v>
      </c>
      <c r="L42" s="6">
        <v>0</v>
      </c>
      <c r="M42" s="6">
        <v>0</v>
      </c>
      <c r="N42" s="6">
        <v>0</v>
      </c>
      <c r="O42" s="6">
        <v>0</v>
      </c>
      <c r="P42" s="6">
        <v>26</v>
      </c>
      <c r="Q42" s="4" t="s">
        <v>26</v>
      </c>
      <c r="R42" s="4">
        <v>0</v>
      </c>
      <c r="S42" s="4" t="s">
        <v>113</v>
      </c>
      <c r="U42" s="4">
        <v>27</v>
      </c>
      <c r="V42" s="4">
        <v>0</v>
      </c>
      <c r="W42" s="4">
        <v>0</v>
      </c>
    </row>
    <row r="43" spans="1:23" ht="11.25" customHeight="1" x14ac:dyDescent="0.3">
      <c r="A43" s="4" t="s">
        <v>28</v>
      </c>
      <c r="B43" s="4" t="s">
        <v>35</v>
      </c>
      <c r="C43" s="4" t="s">
        <v>36</v>
      </c>
      <c r="D43" s="4" t="s">
        <v>34</v>
      </c>
      <c r="E43" s="4" t="s">
        <v>25</v>
      </c>
      <c r="F43" s="4" t="s">
        <v>25</v>
      </c>
      <c r="G43" s="4" t="s">
        <v>25</v>
      </c>
      <c r="H43" s="4" t="s">
        <v>25</v>
      </c>
      <c r="I43" s="5">
        <v>44682</v>
      </c>
      <c r="J43" s="6">
        <v>80</v>
      </c>
      <c r="K43" s="6">
        <v>80</v>
      </c>
      <c r="L43" s="6">
        <v>0</v>
      </c>
      <c r="M43" s="6">
        <v>0</v>
      </c>
      <c r="N43" s="6">
        <v>0</v>
      </c>
      <c r="O43" s="6">
        <v>0</v>
      </c>
      <c r="P43" s="6">
        <v>1</v>
      </c>
      <c r="Q43" s="4" t="s">
        <v>26</v>
      </c>
      <c r="R43" s="4">
        <v>0</v>
      </c>
      <c r="S43" s="4" t="s">
        <v>113</v>
      </c>
      <c r="U43" s="4">
        <v>27</v>
      </c>
      <c r="V43" s="4">
        <v>0</v>
      </c>
      <c r="W43" s="4">
        <v>0</v>
      </c>
    </row>
    <row r="44" spans="1:23" ht="11.25" customHeight="1" x14ac:dyDescent="0.3">
      <c r="A44" s="4" t="s">
        <v>21</v>
      </c>
      <c r="B44" s="4" t="s">
        <v>35</v>
      </c>
      <c r="C44" s="4" t="s">
        <v>36</v>
      </c>
      <c r="D44" s="4" t="s">
        <v>34</v>
      </c>
      <c r="E44" s="4" t="s">
        <v>25</v>
      </c>
      <c r="F44" s="4" t="s">
        <v>25</v>
      </c>
      <c r="G44" s="4" t="s">
        <v>25</v>
      </c>
      <c r="H44" s="4" t="s">
        <v>25</v>
      </c>
      <c r="I44" s="5">
        <v>44713</v>
      </c>
      <c r="J44" s="6">
        <v>10447</v>
      </c>
      <c r="K44" s="6">
        <v>10447</v>
      </c>
      <c r="L44" s="6">
        <v>0</v>
      </c>
      <c r="M44" s="6">
        <v>0</v>
      </c>
      <c r="N44" s="6">
        <v>0</v>
      </c>
      <c r="O44" s="6">
        <v>0</v>
      </c>
      <c r="P44" s="6">
        <v>26</v>
      </c>
      <c r="Q44" s="4" t="s">
        <v>26</v>
      </c>
      <c r="R44" s="4">
        <v>0</v>
      </c>
      <c r="S44" s="4" t="s">
        <v>114</v>
      </c>
      <c r="U44" s="4">
        <v>27</v>
      </c>
      <c r="V44" s="4">
        <v>0</v>
      </c>
      <c r="W44" s="4">
        <v>0</v>
      </c>
    </row>
    <row r="45" spans="1:23" ht="11.25" customHeight="1" x14ac:dyDescent="0.3">
      <c r="A45" s="4" t="s">
        <v>28</v>
      </c>
      <c r="B45" s="4" t="s">
        <v>35</v>
      </c>
      <c r="C45" s="4" t="s">
        <v>36</v>
      </c>
      <c r="D45" s="4" t="s">
        <v>34</v>
      </c>
      <c r="E45" s="4" t="s">
        <v>25</v>
      </c>
      <c r="F45" s="4" t="s">
        <v>25</v>
      </c>
      <c r="G45" s="4" t="s">
        <v>25</v>
      </c>
      <c r="H45" s="4" t="s">
        <v>25</v>
      </c>
      <c r="I45" s="5">
        <v>44713</v>
      </c>
      <c r="J45" s="6">
        <v>90</v>
      </c>
      <c r="K45" s="6">
        <v>90</v>
      </c>
      <c r="L45" s="6">
        <v>0</v>
      </c>
      <c r="M45" s="6">
        <v>0</v>
      </c>
      <c r="N45" s="6">
        <v>0</v>
      </c>
      <c r="O45" s="6">
        <v>0</v>
      </c>
      <c r="P45" s="6">
        <v>1</v>
      </c>
      <c r="Q45" s="4" t="s">
        <v>26</v>
      </c>
      <c r="R45" s="4">
        <v>0</v>
      </c>
      <c r="S45" s="4" t="s">
        <v>114</v>
      </c>
      <c r="U45" s="4">
        <v>27</v>
      </c>
      <c r="V45" s="4">
        <v>0</v>
      </c>
      <c r="W45" s="4">
        <v>0</v>
      </c>
    </row>
    <row r="46" spans="1:23" ht="11.25" customHeight="1" x14ac:dyDescent="0.3">
      <c r="A46" s="4" t="s">
        <v>21</v>
      </c>
      <c r="B46" s="4" t="s">
        <v>35</v>
      </c>
      <c r="C46" s="4" t="s">
        <v>36</v>
      </c>
      <c r="D46" s="4" t="s">
        <v>34</v>
      </c>
      <c r="E46" s="4" t="s">
        <v>25</v>
      </c>
      <c r="F46" s="4" t="s">
        <v>25</v>
      </c>
      <c r="G46" s="4" t="s">
        <v>25</v>
      </c>
      <c r="H46" s="4" t="s">
        <v>25</v>
      </c>
      <c r="I46" s="5">
        <v>44743</v>
      </c>
      <c r="J46" s="6">
        <v>10435</v>
      </c>
      <c r="K46" s="6">
        <v>10435</v>
      </c>
      <c r="L46" s="6">
        <v>0</v>
      </c>
      <c r="M46" s="6">
        <v>0</v>
      </c>
      <c r="N46" s="6">
        <v>0</v>
      </c>
      <c r="O46" s="6">
        <v>0</v>
      </c>
      <c r="P46" s="6">
        <v>26</v>
      </c>
      <c r="Q46" s="4" t="s">
        <v>26</v>
      </c>
      <c r="R46" s="4">
        <v>0</v>
      </c>
      <c r="S46" s="4" t="s">
        <v>115</v>
      </c>
      <c r="U46" s="4">
        <v>27</v>
      </c>
      <c r="V46" s="4">
        <v>0</v>
      </c>
      <c r="W46" s="4">
        <v>0</v>
      </c>
    </row>
    <row r="47" spans="1:23" ht="11.25" customHeight="1" x14ac:dyDescent="0.3">
      <c r="A47" s="4" t="s">
        <v>28</v>
      </c>
      <c r="B47" s="4" t="s">
        <v>35</v>
      </c>
      <c r="C47" s="4" t="s">
        <v>36</v>
      </c>
      <c r="D47" s="4" t="s">
        <v>34</v>
      </c>
      <c r="E47" s="4" t="s">
        <v>25</v>
      </c>
      <c r="F47" s="4" t="s">
        <v>25</v>
      </c>
      <c r="G47" s="4" t="s">
        <v>25</v>
      </c>
      <c r="H47" s="4" t="s">
        <v>25</v>
      </c>
      <c r="I47" s="5">
        <v>44743</v>
      </c>
      <c r="J47" s="6">
        <v>74</v>
      </c>
      <c r="K47" s="6">
        <v>74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4" t="s">
        <v>26</v>
      </c>
      <c r="R47" s="4">
        <v>0</v>
      </c>
      <c r="S47" s="4" t="s">
        <v>115</v>
      </c>
      <c r="U47" s="4">
        <v>27</v>
      </c>
      <c r="V47" s="4">
        <v>0</v>
      </c>
      <c r="W47" s="4">
        <v>0</v>
      </c>
    </row>
    <row r="48" spans="1:23" ht="11.25" customHeight="1" x14ac:dyDescent="0.3">
      <c r="A48" s="4" t="s">
        <v>52</v>
      </c>
      <c r="B48" s="4" t="s">
        <v>35</v>
      </c>
      <c r="C48" s="4" t="s">
        <v>36</v>
      </c>
      <c r="D48" s="4" t="s">
        <v>34</v>
      </c>
      <c r="E48" s="4" t="s">
        <v>25</v>
      </c>
      <c r="F48" s="4" t="s">
        <v>25</v>
      </c>
      <c r="G48" s="4" t="s">
        <v>25</v>
      </c>
      <c r="H48" s="4" t="s">
        <v>25</v>
      </c>
      <c r="I48" s="5">
        <v>44774</v>
      </c>
      <c r="J48" s="6">
        <v>10435</v>
      </c>
      <c r="K48" s="6">
        <v>10435</v>
      </c>
      <c r="L48" s="6">
        <v>0</v>
      </c>
      <c r="M48" s="6">
        <v>0</v>
      </c>
      <c r="N48" s="6">
        <v>0</v>
      </c>
      <c r="O48" s="6">
        <v>0</v>
      </c>
      <c r="P48" s="6">
        <v>26</v>
      </c>
      <c r="Q48" s="4" t="s">
        <v>26</v>
      </c>
      <c r="R48" s="4">
        <v>0</v>
      </c>
      <c r="S48" s="4" t="s">
        <v>116</v>
      </c>
      <c r="U48" s="4">
        <v>27</v>
      </c>
      <c r="V48" s="4">
        <v>0</v>
      </c>
      <c r="W48" s="4">
        <v>0</v>
      </c>
    </row>
    <row r="49" spans="1:23" ht="11.25" customHeight="1" x14ac:dyDescent="0.3">
      <c r="A49" s="4" t="s">
        <v>52</v>
      </c>
      <c r="B49" s="4" t="s">
        <v>35</v>
      </c>
      <c r="C49" s="4" t="s">
        <v>36</v>
      </c>
      <c r="D49" s="4" t="s">
        <v>34</v>
      </c>
      <c r="E49" s="4" t="s">
        <v>25</v>
      </c>
      <c r="F49" s="4" t="s">
        <v>25</v>
      </c>
      <c r="G49" s="4" t="s">
        <v>25</v>
      </c>
      <c r="H49" s="4" t="s">
        <v>25</v>
      </c>
      <c r="I49" s="5">
        <v>44774</v>
      </c>
      <c r="J49" s="6">
        <v>74</v>
      </c>
      <c r="K49" s="6">
        <v>74</v>
      </c>
      <c r="L49" s="6">
        <v>0</v>
      </c>
      <c r="M49" s="6">
        <v>0</v>
      </c>
      <c r="N49" s="6">
        <v>0</v>
      </c>
      <c r="O49" s="6">
        <v>0</v>
      </c>
      <c r="P49" s="6">
        <v>1</v>
      </c>
      <c r="Q49" s="4" t="s">
        <v>26</v>
      </c>
      <c r="R49" s="4">
        <v>0</v>
      </c>
      <c r="S49" s="4" t="s">
        <v>116</v>
      </c>
      <c r="U49" s="4">
        <v>27</v>
      </c>
      <c r="V49" s="4">
        <v>0</v>
      </c>
      <c r="W49" s="4">
        <v>0</v>
      </c>
    </row>
    <row r="50" spans="1:23" ht="11.25" customHeight="1" x14ac:dyDescent="0.3">
      <c r="A50" s="4" t="s">
        <v>21</v>
      </c>
      <c r="B50" s="4" t="s">
        <v>35</v>
      </c>
      <c r="C50" s="4" t="s">
        <v>36</v>
      </c>
      <c r="D50" s="4" t="s">
        <v>34</v>
      </c>
      <c r="E50" s="4" t="s">
        <v>25</v>
      </c>
      <c r="F50" s="4" t="s">
        <v>25</v>
      </c>
      <c r="G50" s="4" t="s">
        <v>25</v>
      </c>
      <c r="H50" s="4" t="s">
        <v>37</v>
      </c>
      <c r="I50" s="5">
        <v>44440</v>
      </c>
      <c r="J50" s="6">
        <v>0</v>
      </c>
      <c r="K50" s="6">
        <v>0</v>
      </c>
      <c r="L50" s="6">
        <v>102.54600000000001</v>
      </c>
      <c r="M50" s="6">
        <v>102.54600000000001</v>
      </c>
      <c r="N50" s="6">
        <v>102.54600000000001</v>
      </c>
      <c r="O50" s="6">
        <v>102.54600000000001</v>
      </c>
      <c r="P50" s="6">
        <v>0</v>
      </c>
      <c r="Q50" s="4" t="s">
        <v>26</v>
      </c>
      <c r="R50" s="4">
        <v>0</v>
      </c>
      <c r="S50" s="4" t="s">
        <v>117</v>
      </c>
      <c r="T50" s="4" t="s">
        <v>264</v>
      </c>
      <c r="U50" s="4">
        <v>0</v>
      </c>
      <c r="V50" s="4">
        <v>32</v>
      </c>
      <c r="W50" s="4">
        <v>34</v>
      </c>
    </row>
    <row r="51" spans="1:23" ht="11.25" customHeight="1" x14ac:dyDescent="0.3">
      <c r="A51" s="4" t="s">
        <v>21</v>
      </c>
      <c r="B51" s="4" t="s">
        <v>35</v>
      </c>
      <c r="C51" s="4" t="s">
        <v>36</v>
      </c>
      <c r="D51" s="4" t="s">
        <v>34</v>
      </c>
      <c r="E51" s="4" t="s">
        <v>25</v>
      </c>
      <c r="F51" s="4" t="s">
        <v>25</v>
      </c>
      <c r="G51" s="4" t="s">
        <v>25</v>
      </c>
      <c r="H51" s="4" t="s">
        <v>37</v>
      </c>
      <c r="I51" s="5">
        <v>44470</v>
      </c>
      <c r="J51" s="6">
        <v>0</v>
      </c>
      <c r="K51" s="6">
        <v>0</v>
      </c>
      <c r="L51" s="6">
        <v>89.47</v>
      </c>
      <c r="M51" s="6">
        <v>89.47</v>
      </c>
      <c r="N51" s="6">
        <v>89.47</v>
      </c>
      <c r="O51" s="6">
        <v>89.47</v>
      </c>
      <c r="P51" s="6">
        <v>0</v>
      </c>
      <c r="Q51" s="4" t="s">
        <v>26</v>
      </c>
      <c r="R51" s="4">
        <v>0</v>
      </c>
      <c r="S51" s="4" t="s">
        <v>118</v>
      </c>
      <c r="T51" s="4" t="s">
        <v>265</v>
      </c>
      <c r="U51" s="4">
        <v>0</v>
      </c>
      <c r="V51" s="4">
        <v>32</v>
      </c>
      <c r="W51" s="4">
        <v>34</v>
      </c>
    </row>
    <row r="52" spans="1:23" ht="11.25" customHeight="1" x14ac:dyDescent="0.3">
      <c r="A52" s="4" t="s">
        <v>21</v>
      </c>
      <c r="B52" s="4" t="s">
        <v>35</v>
      </c>
      <c r="C52" s="4" t="s">
        <v>36</v>
      </c>
      <c r="D52" s="4" t="s">
        <v>34</v>
      </c>
      <c r="E52" s="4" t="s">
        <v>25</v>
      </c>
      <c r="F52" s="4" t="s">
        <v>25</v>
      </c>
      <c r="G52" s="4" t="s">
        <v>25</v>
      </c>
      <c r="H52" s="4" t="s">
        <v>37</v>
      </c>
      <c r="I52" s="5">
        <v>44501</v>
      </c>
      <c r="J52" s="6">
        <v>0</v>
      </c>
      <c r="K52" s="6">
        <v>0</v>
      </c>
      <c r="L52" s="6">
        <v>90.867000000000004</v>
      </c>
      <c r="M52" s="6">
        <v>90.867000000000004</v>
      </c>
      <c r="N52" s="6">
        <v>90.867000000000004</v>
      </c>
      <c r="O52" s="6">
        <v>90.867000000000004</v>
      </c>
      <c r="P52" s="6">
        <v>0</v>
      </c>
      <c r="Q52" s="4" t="s">
        <v>26</v>
      </c>
      <c r="R52" s="4">
        <v>0</v>
      </c>
      <c r="S52" s="4" t="s">
        <v>119</v>
      </c>
      <c r="T52" s="4" t="s">
        <v>280</v>
      </c>
      <c r="U52" s="4">
        <v>0</v>
      </c>
      <c r="V52" s="4">
        <v>32</v>
      </c>
      <c r="W52" s="4">
        <v>34</v>
      </c>
    </row>
    <row r="53" spans="1:23" ht="11.25" customHeight="1" x14ac:dyDescent="0.3">
      <c r="A53" s="4" t="s">
        <v>21</v>
      </c>
      <c r="B53" s="4" t="s">
        <v>35</v>
      </c>
      <c r="C53" s="4" t="s">
        <v>36</v>
      </c>
      <c r="D53" s="4" t="s">
        <v>34</v>
      </c>
      <c r="E53" s="4" t="s">
        <v>25</v>
      </c>
      <c r="F53" s="4" t="s">
        <v>25</v>
      </c>
      <c r="G53" s="4" t="s">
        <v>25</v>
      </c>
      <c r="H53" s="4" t="s">
        <v>37</v>
      </c>
      <c r="I53" s="5">
        <v>44531</v>
      </c>
      <c r="J53" s="6">
        <v>0</v>
      </c>
      <c r="K53" s="6">
        <v>0</v>
      </c>
      <c r="L53" s="6">
        <v>92.667000000000002</v>
      </c>
      <c r="M53" s="6">
        <v>92.667000000000002</v>
      </c>
      <c r="N53" s="6">
        <v>92.667000000000002</v>
      </c>
      <c r="O53" s="6">
        <v>92.667000000000002</v>
      </c>
      <c r="P53" s="6">
        <v>0</v>
      </c>
      <c r="Q53" s="4" t="s">
        <v>26</v>
      </c>
      <c r="R53" s="4">
        <v>0</v>
      </c>
      <c r="S53" s="4" t="s">
        <v>120</v>
      </c>
      <c r="T53" s="4" t="s">
        <v>281</v>
      </c>
      <c r="U53" s="4">
        <v>0</v>
      </c>
      <c r="V53" s="4">
        <v>32</v>
      </c>
      <c r="W53" s="4">
        <v>34</v>
      </c>
    </row>
    <row r="54" spans="1:23" ht="11.25" customHeight="1" x14ac:dyDescent="0.3">
      <c r="A54" s="4" t="s">
        <v>28</v>
      </c>
      <c r="B54" s="4" t="s">
        <v>35</v>
      </c>
      <c r="C54" s="4" t="s">
        <v>36</v>
      </c>
      <c r="D54" s="4" t="s">
        <v>34</v>
      </c>
      <c r="E54" s="4" t="s">
        <v>25</v>
      </c>
      <c r="F54" s="4" t="s">
        <v>25</v>
      </c>
      <c r="G54" s="4" t="s">
        <v>25</v>
      </c>
      <c r="H54" s="4" t="s">
        <v>37</v>
      </c>
      <c r="I54" s="5">
        <v>44531</v>
      </c>
      <c r="J54" s="6">
        <v>0</v>
      </c>
      <c r="K54" s="6">
        <v>0</v>
      </c>
      <c r="L54" s="6">
        <v>1.762</v>
      </c>
      <c r="M54" s="6">
        <v>1.762</v>
      </c>
      <c r="N54" s="6">
        <v>1.762</v>
      </c>
      <c r="O54" s="6">
        <v>1.762</v>
      </c>
      <c r="P54" s="6">
        <v>0</v>
      </c>
      <c r="Q54" s="4" t="s">
        <v>26</v>
      </c>
      <c r="R54" s="4">
        <v>0</v>
      </c>
      <c r="S54" s="4" t="s">
        <v>120</v>
      </c>
      <c r="T54" s="4" t="s">
        <v>281</v>
      </c>
      <c r="U54" s="4">
        <v>0</v>
      </c>
      <c r="V54" s="4">
        <v>32</v>
      </c>
      <c r="W54" s="4">
        <v>34</v>
      </c>
    </row>
    <row r="55" spans="1:23" ht="11.25" customHeight="1" x14ac:dyDescent="0.3">
      <c r="A55" s="4" t="s">
        <v>21</v>
      </c>
      <c r="B55" s="4" t="s">
        <v>35</v>
      </c>
      <c r="C55" s="4" t="s">
        <v>36</v>
      </c>
      <c r="D55" s="4" t="s">
        <v>34</v>
      </c>
      <c r="E55" s="4" t="s">
        <v>25</v>
      </c>
      <c r="F55" s="4" t="s">
        <v>25</v>
      </c>
      <c r="G55" s="4" t="s">
        <v>25</v>
      </c>
      <c r="H55" s="4" t="s">
        <v>37</v>
      </c>
      <c r="I55" s="5">
        <v>44562</v>
      </c>
      <c r="J55" s="6">
        <v>0</v>
      </c>
      <c r="K55" s="6">
        <v>0</v>
      </c>
      <c r="L55" s="6">
        <v>91.927000000000007</v>
      </c>
      <c r="M55" s="6">
        <v>91.927000000000007</v>
      </c>
      <c r="N55" s="6">
        <v>91.927000000000007</v>
      </c>
      <c r="O55" s="6">
        <v>91.927000000000007</v>
      </c>
      <c r="P55" s="6">
        <v>0</v>
      </c>
      <c r="Q55" s="4" t="s">
        <v>26</v>
      </c>
      <c r="R55" s="4">
        <v>0</v>
      </c>
      <c r="S55" s="4" t="s">
        <v>121</v>
      </c>
      <c r="T55" s="4" t="s">
        <v>282</v>
      </c>
      <c r="U55" s="4">
        <v>0</v>
      </c>
      <c r="V55" s="4">
        <v>32</v>
      </c>
      <c r="W55" s="4">
        <v>34</v>
      </c>
    </row>
    <row r="56" spans="1:23" ht="11.25" customHeight="1" x14ac:dyDescent="0.3">
      <c r="A56" s="4" t="s">
        <v>28</v>
      </c>
      <c r="B56" s="4" t="s">
        <v>35</v>
      </c>
      <c r="C56" s="4" t="s">
        <v>36</v>
      </c>
      <c r="D56" s="4" t="s">
        <v>34</v>
      </c>
      <c r="E56" s="4" t="s">
        <v>25</v>
      </c>
      <c r="F56" s="4" t="s">
        <v>25</v>
      </c>
      <c r="G56" s="4" t="s">
        <v>25</v>
      </c>
      <c r="H56" s="4" t="s">
        <v>37</v>
      </c>
      <c r="I56" s="5">
        <v>44562</v>
      </c>
      <c r="J56" s="6">
        <v>0</v>
      </c>
      <c r="K56" s="6">
        <v>0</v>
      </c>
      <c r="L56" s="6">
        <v>2.1549999999999998</v>
      </c>
      <c r="M56" s="6">
        <v>2.1549999999999998</v>
      </c>
      <c r="N56" s="6">
        <v>2.1549999999999998</v>
      </c>
      <c r="O56" s="6">
        <v>2.1549999999999998</v>
      </c>
      <c r="P56" s="6">
        <v>0</v>
      </c>
      <c r="Q56" s="4" t="s">
        <v>26</v>
      </c>
      <c r="R56" s="4">
        <v>0</v>
      </c>
      <c r="S56" s="4" t="s">
        <v>121</v>
      </c>
      <c r="T56" s="4" t="s">
        <v>282</v>
      </c>
      <c r="U56" s="4">
        <v>0</v>
      </c>
      <c r="V56" s="4">
        <v>32</v>
      </c>
      <c r="W56" s="4">
        <v>34</v>
      </c>
    </row>
    <row r="57" spans="1:23" ht="11.25" customHeight="1" x14ac:dyDescent="0.3">
      <c r="A57" s="4" t="s">
        <v>21</v>
      </c>
      <c r="B57" s="4" t="s">
        <v>35</v>
      </c>
      <c r="C57" s="4" t="s">
        <v>36</v>
      </c>
      <c r="D57" s="4" t="s">
        <v>34</v>
      </c>
      <c r="E57" s="4" t="s">
        <v>25</v>
      </c>
      <c r="F57" s="4" t="s">
        <v>25</v>
      </c>
      <c r="G57" s="4" t="s">
        <v>25</v>
      </c>
      <c r="H57" s="4" t="s">
        <v>37</v>
      </c>
      <c r="I57" s="5">
        <v>44593</v>
      </c>
      <c r="J57" s="6">
        <v>0</v>
      </c>
      <c r="K57" s="6">
        <v>0</v>
      </c>
      <c r="L57" s="6">
        <v>93.611999999999995</v>
      </c>
      <c r="M57" s="6">
        <v>93.611999999999995</v>
      </c>
      <c r="N57" s="6">
        <v>93.611999999999995</v>
      </c>
      <c r="O57" s="6">
        <v>93.611999999999995</v>
      </c>
      <c r="P57" s="6">
        <v>0</v>
      </c>
      <c r="Q57" s="4" t="s">
        <v>26</v>
      </c>
      <c r="R57" s="4">
        <v>0</v>
      </c>
      <c r="S57" s="4" t="s">
        <v>122</v>
      </c>
      <c r="T57" s="4" t="s">
        <v>283</v>
      </c>
      <c r="U57" s="4">
        <v>0</v>
      </c>
      <c r="V57" s="4">
        <v>32</v>
      </c>
      <c r="W57" s="4">
        <v>34</v>
      </c>
    </row>
    <row r="58" spans="1:23" ht="11.25" customHeight="1" x14ac:dyDescent="0.3">
      <c r="A58" s="4" t="s">
        <v>28</v>
      </c>
      <c r="B58" s="4" t="s">
        <v>35</v>
      </c>
      <c r="C58" s="4" t="s">
        <v>36</v>
      </c>
      <c r="D58" s="4" t="s">
        <v>34</v>
      </c>
      <c r="E58" s="4" t="s">
        <v>25</v>
      </c>
      <c r="F58" s="4" t="s">
        <v>25</v>
      </c>
      <c r="G58" s="4" t="s">
        <v>25</v>
      </c>
      <c r="H58" s="4" t="s">
        <v>37</v>
      </c>
      <c r="I58" s="5">
        <v>44593</v>
      </c>
      <c r="J58" s="6">
        <v>0</v>
      </c>
      <c r="K58" s="6">
        <v>0</v>
      </c>
      <c r="L58" s="6">
        <v>2.6560000000000001</v>
      </c>
      <c r="M58" s="6">
        <v>2.6560000000000001</v>
      </c>
      <c r="N58" s="6">
        <v>2.6560000000000001</v>
      </c>
      <c r="O58" s="6">
        <v>2.6560000000000001</v>
      </c>
      <c r="P58" s="6">
        <v>0</v>
      </c>
      <c r="Q58" s="4" t="s">
        <v>26</v>
      </c>
      <c r="R58" s="4">
        <v>0</v>
      </c>
      <c r="S58" s="4" t="s">
        <v>122</v>
      </c>
      <c r="T58" s="4" t="s">
        <v>283</v>
      </c>
      <c r="U58" s="4">
        <v>0</v>
      </c>
      <c r="V58" s="4">
        <v>32</v>
      </c>
      <c r="W58" s="4">
        <v>34</v>
      </c>
    </row>
    <row r="59" spans="1:23" ht="11.25" customHeight="1" x14ac:dyDescent="0.3">
      <c r="A59" s="4" t="s">
        <v>21</v>
      </c>
      <c r="B59" s="4" t="s">
        <v>35</v>
      </c>
      <c r="C59" s="4" t="s">
        <v>36</v>
      </c>
      <c r="D59" s="4" t="s">
        <v>34</v>
      </c>
      <c r="E59" s="4" t="s">
        <v>25</v>
      </c>
      <c r="F59" s="4" t="s">
        <v>25</v>
      </c>
      <c r="G59" s="4" t="s">
        <v>25</v>
      </c>
      <c r="H59" s="4" t="s">
        <v>37</v>
      </c>
      <c r="I59" s="5">
        <v>44621</v>
      </c>
      <c r="J59" s="6">
        <v>0</v>
      </c>
      <c r="K59" s="6">
        <v>0</v>
      </c>
      <c r="L59" s="6">
        <v>117.13500000000001</v>
      </c>
      <c r="M59" s="6">
        <v>117.13500000000001</v>
      </c>
      <c r="N59" s="6">
        <v>117.13500000000001</v>
      </c>
      <c r="O59" s="6">
        <v>117.13500000000001</v>
      </c>
      <c r="P59" s="6">
        <v>0</v>
      </c>
      <c r="Q59" s="4" t="s">
        <v>26</v>
      </c>
      <c r="R59" s="4">
        <v>0</v>
      </c>
      <c r="S59" s="4" t="s">
        <v>123</v>
      </c>
      <c r="T59" s="4" t="s">
        <v>284</v>
      </c>
      <c r="U59" s="4">
        <v>0</v>
      </c>
      <c r="V59" s="4">
        <v>32</v>
      </c>
      <c r="W59" s="4">
        <v>34</v>
      </c>
    </row>
    <row r="60" spans="1:23" ht="11.25" customHeight="1" x14ac:dyDescent="0.3">
      <c r="A60" s="4" t="s">
        <v>28</v>
      </c>
      <c r="B60" s="4" t="s">
        <v>35</v>
      </c>
      <c r="C60" s="4" t="s">
        <v>36</v>
      </c>
      <c r="D60" s="4" t="s">
        <v>34</v>
      </c>
      <c r="E60" s="4" t="s">
        <v>25</v>
      </c>
      <c r="F60" s="4" t="s">
        <v>25</v>
      </c>
      <c r="G60" s="4" t="s">
        <v>25</v>
      </c>
      <c r="H60" s="4" t="s">
        <v>37</v>
      </c>
      <c r="I60" s="5">
        <v>44621</v>
      </c>
      <c r="J60" s="6">
        <v>0</v>
      </c>
      <c r="K60" s="6">
        <v>0</v>
      </c>
      <c r="L60" s="6">
        <v>2.831</v>
      </c>
      <c r="M60" s="6">
        <v>2.831</v>
      </c>
      <c r="N60" s="6">
        <v>2.831</v>
      </c>
      <c r="O60" s="6">
        <v>2.831</v>
      </c>
      <c r="P60" s="6">
        <v>0</v>
      </c>
      <c r="Q60" s="4" t="s">
        <v>26</v>
      </c>
      <c r="R60" s="4">
        <v>0</v>
      </c>
      <c r="S60" s="4" t="s">
        <v>123</v>
      </c>
      <c r="T60" s="4" t="s">
        <v>284</v>
      </c>
      <c r="U60" s="4">
        <v>0</v>
      </c>
      <c r="V60" s="4">
        <v>32</v>
      </c>
      <c r="W60" s="4">
        <v>34</v>
      </c>
    </row>
    <row r="61" spans="1:23" ht="11.25" customHeight="1" x14ac:dyDescent="0.3">
      <c r="A61" s="4" t="s">
        <v>21</v>
      </c>
      <c r="B61" s="4" t="s">
        <v>35</v>
      </c>
      <c r="C61" s="4" t="s">
        <v>36</v>
      </c>
      <c r="D61" s="4" t="s">
        <v>34</v>
      </c>
      <c r="E61" s="4" t="s">
        <v>25</v>
      </c>
      <c r="F61" s="4" t="s">
        <v>25</v>
      </c>
      <c r="G61" s="4" t="s">
        <v>25</v>
      </c>
      <c r="H61" s="4" t="s">
        <v>37</v>
      </c>
      <c r="I61" s="5">
        <v>44652</v>
      </c>
      <c r="J61" s="6">
        <v>0</v>
      </c>
      <c r="K61" s="6">
        <v>0</v>
      </c>
      <c r="L61" s="6">
        <v>90.576999999999998</v>
      </c>
      <c r="M61" s="6">
        <v>90.576999999999998</v>
      </c>
      <c r="N61" s="6">
        <v>90.576999999999998</v>
      </c>
      <c r="O61" s="6">
        <v>90.576999999999998</v>
      </c>
      <c r="P61" s="6">
        <v>0</v>
      </c>
      <c r="Q61" s="4" t="s">
        <v>26</v>
      </c>
      <c r="R61" s="4">
        <v>0</v>
      </c>
      <c r="S61" s="4" t="s">
        <v>124</v>
      </c>
      <c r="T61" s="4" t="s">
        <v>285</v>
      </c>
      <c r="U61" s="4">
        <v>0</v>
      </c>
      <c r="V61" s="4">
        <v>32</v>
      </c>
      <c r="W61" s="4">
        <v>34</v>
      </c>
    </row>
    <row r="62" spans="1:23" ht="11.25" customHeight="1" x14ac:dyDescent="0.3">
      <c r="A62" s="4" t="s">
        <v>27</v>
      </c>
      <c r="B62" s="4" t="s">
        <v>35</v>
      </c>
      <c r="C62" s="4" t="s">
        <v>36</v>
      </c>
      <c r="D62" s="4" t="s">
        <v>34</v>
      </c>
      <c r="E62" s="4" t="s">
        <v>25</v>
      </c>
      <c r="F62" s="4" t="s">
        <v>25</v>
      </c>
      <c r="G62" s="4" t="s">
        <v>25</v>
      </c>
      <c r="H62" s="4" t="s">
        <v>37</v>
      </c>
      <c r="I62" s="5">
        <v>44652</v>
      </c>
      <c r="J62" s="6">
        <v>0</v>
      </c>
      <c r="K62" s="6">
        <v>0</v>
      </c>
      <c r="L62" s="6">
        <v>-2.9020000000000001</v>
      </c>
      <c r="M62" s="6">
        <v>-2.9020000000000001</v>
      </c>
      <c r="N62" s="6">
        <v>-2.9020000000000001</v>
      </c>
      <c r="O62" s="6">
        <v>-2.9020000000000001</v>
      </c>
      <c r="P62" s="6">
        <v>0</v>
      </c>
      <c r="Q62" s="4" t="s">
        <v>26</v>
      </c>
      <c r="R62" s="4">
        <v>0</v>
      </c>
      <c r="S62" s="4" t="s">
        <v>124</v>
      </c>
      <c r="T62" s="4" t="s">
        <v>285</v>
      </c>
      <c r="U62" s="4">
        <v>0</v>
      </c>
      <c r="V62" s="4">
        <v>32</v>
      </c>
      <c r="W62" s="4">
        <v>34</v>
      </c>
    </row>
    <row r="63" spans="1:23" ht="11.25" customHeight="1" x14ac:dyDescent="0.3">
      <c r="A63" s="4" t="s">
        <v>28</v>
      </c>
      <c r="B63" s="4" t="s">
        <v>35</v>
      </c>
      <c r="C63" s="4" t="s">
        <v>36</v>
      </c>
      <c r="D63" s="4" t="s">
        <v>34</v>
      </c>
      <c r="E63" s="4" t="s">
        <v>25</v>
      </c>
      <c r="F63" s="4" t="s">
        <v>25</v>
      </c>
      <c r="G63" s="4" t="s">
        <v>25</v>
      </c>
      <c r="H63" s="4" t="s">
        <v>37</v>
      </c>
      <c r="I63" s="5">
        <v>44652</v>
      </c>
      <c r="J63" s="6">
        <v>0</v>
      </c>
      <c r="K63" s="6">
        <v>0</v>
      </c>
      <c r="L63" s="6">
        <v>2.6850000000000001</v>
      </c>
      <c r="M63" s="6">
        <v>2.6850000000000001</v>
      </c>
      <c r="N63" s="6">
        <v>2.6850000000000001</v>
      </c>
      <c r="O63" s="6">
        <v>2.6850000000000001</v>
      </c>
      <c r="P63" s="6">
        <v>0</v>
      </c>
      <c r="Q63" s="4" t="s">
        <v>26</v>
      </c>
      <c r="R63" s="4">
        <v>0</v>
      </c>
      <c r="S63" s="4" t="s">
        <v>124</v>
      </c>
      <c r="T63" s="4" t="s">
        <v>285</v>
      </c>
      <c r="U63" s="4">
        <v>0</v>
      </c>
      <c r="V63" s="4">
        <v>32</v>
      </c>
      <c r="W63" s="4">
        <v>34</v>
      </c>
    </row>
    <row r="64" spans="1:23" ht="11.25" customHeight="1" x14ac:dyDescent="0.3">
      <c r="A64" s="4" t="s">
        <v>21</v>
      </c>
      <c r="B64" s="4" t="s">
        <v>35</v>
      </c>
      <c r="C64" s="4" t="s">
        <v>36</v>
      </c>
      <c r="D64" s="4" t="s">
        <v>34</v>
      </c>
      <c r="E64" s="4" t="s">
        <v>25</v>
      </c>
      <c r="F64" s="4" t="s">
        <v>25</v>
      </c>
      <c r="G64" s="4" t="s">
        <v>25</v>
      </c>
      <c r="H64" s="4" t="s">
        <v>37</v>
      </c>
      <c r="I64" s="5">
        <v>44682</v>
      </c>
      <c r="J64" s="6">
        <v>0</v>
      </c>
      <c r="K64" s="6">
        <v>0</v>
      </c>
      <c r="L64" s="6">
        <v>107.97199999999999</v>
      </c>
      <c r="M64" s="6">
        <v>107.97199999999999</v>
      </c>
      <c r="N64" s="6">
        <v>107.97199999999999</v>
      </c>
      <c r="O64" s="6">
        <v>107.97199999999999</v>
      </c>
      <c r="P64" s="6">
        <v>0</v>
      </c>
      <c r="Q64" s="4" t="s">
        <v>26</v>
      </c>
      <c r="R64" s="4">
        <v>0</v>
      </c>
      <c r="S64" s="4" t="s">
        <v>125</v>
      </c>
      <c r="T64" s="4" t="s">
        <v>286</v>
      </c>
      <c r="U64" s="4">
        <v>0</v>
      </c>
      <c r="V64" s="4">
        <v>32</v>
      </c>
      <c r="W64" s="4">
        <v>34</v>
      </c>
    </row>
    <row r="65" spans="1:23" ht="11.25" customHeight="1" x14ac:dyDescent="0.3">
      <c r="A65" s="4" t="s">
        <v>28</v>
      </c>
      <c r="B65" s="4" t="s">
        <v>35</v>
      </c>
      <c r="C65" s="4" t="s">
        <v>36</v>
      </c>
      <c r="D65" s="4" t="s">
        <v>34</v>
      </c>
      <c r="E65" s="4" t="s">
        <v>25</v>
      </c>
      <c r="F65" s="4" t="s">
        <v>25</v>
      </c>
      <c r="G65" s="4" t="s">
        <v>25</v>
      </c>
      <c r="H65" s="4" t="s">
        <v>37</v>
      </c>
      <c r="I65" s="5">
        <v>44682</v>
      </c>
      <c r="J65" s="6">
        <v>0</v>
      </c>
      <c r="K65" s="6">
        <v>0</v>
      </c>
      <c r="L65" s="6">
        <v>3.383</v>
      </c>
      <c r="M65" s="6">
        <v>3.383</v>
      </c>
      <c r="N65" s="6">
        <v>3.383</v>
      </c>
      <c r="O65" s="6">
        <v>3.383</v>
      </c>
      <c r="P65" s="6">
        <v>0</v>
      </c>
      <c r="Q65" s="4" t="s">
        <v>26</v>
      </c>
      <c r="R65" s="4">
        <v>0</v>
      </c>
      <c r="S65" s="4" t="s">
        <v>125</v>
      </c>
      <c r="T65" s="4" t="s">
        <v>286</v>
      </c>
      <c r="U65" s="4">
        <v>0</v>
      </c>
      <c r="V65" s="4">
        <v>32</v>
      </c>
      <c r="W65" s="4">
        <v>34</v>
      </c>
    </row>
    <row r="66" spans="1:23" ht="11.25" customHeight="1" x14ac:dyDescent="0.3">
      <c r="A66" s="4" t="s">
        <v>21</v>
      </c>
      <c r="B66" s="4" t="s">
        <v>35</v>
      </c>
      <c r="C66" s="4" t="s">
        <v>36</v>
      </c>
      <c r="D66" s="4" t="s">
        <v>34</v>
      </c>
      <c r="E66" s="4" t="s">
        <v>25</v>
      </c>
      <c r="F66" s="4" t="s">
        <v>25</v>
      </c>
      <c r="G66" s="4" t="s">
        <v>25</v>
      </c>
      <c r="H66" s="4" t="s">
        <v>37</v>
      </c>
      <c r="I66" s="5">
        <v>44713</v>
      </c>
      <c r="J66" s="6">
        <v>0</v>
      </c>
      <c r="K66" s="6">
        <v>0</v>
      </c>
      <c r="L66" s="6">
        <v>98.912999999999997</v>
      </c>
      <c r="M66" s="6">
        <v>98.912999999999997</v>
      </c>
      <c r="N66" s="6">
        <v>98.912999999999997</v>
      </c>
      <c r="O66" s="6">
        <v>98.912999999999997</v>
      </c>
      <c r="P66" s="6">
        <v>0</v>
      </c>
      <c r="Q66" s="4" t="s">
        <v>26</v>
      </c>
      <c r="R66" s="4">
        <v>0</v>
      </c>
      <c r="S66" s="4" t="s">
        <v>126</v>
      </c>
      <c r="T66" s="4" t="s">
        <v>287</v>
      </c>
      <c r="U66" s="4">
        <v>0</v>
      </c>
      <c r="V66" s="4">
        <v>32</v>
      </c>
      <c r="W66" s="4">
        <v>34</v>
      </c>
    </row>
    <row r="67" spans="1:23" ht="11.25" customHeight="1" x14ac:dyDescent="0.3">
      <c r="A67" s="4" t="s">
        <v>28</v>
      </c>
      <c r="B67" s="4" t="s">
        <v>35</v>
      </c>
      <c r="C67" s="4" t="s">
        <v>36</v>
      </c>
      <c r="D67" s="4" t="s">
        <v>34</v>
      </c>
      <c r="E67" s="4" t="s">
        <v>25</v>
      </c>
      <c r="F67" s="4" t="s">
        <v>25</v>
      </c>
      <c r="G67" s="4" t="s">
        <v>25</v>
      </c>
      <c r="H67" s="4" t="s">
        <v>37</v>
      </c>
      <c r="I67" s="5">
        <v>44713</v>
      </c>
      <c r="J67" s="6">
        <v>0</v>
      </c>
      <c r="K67" s="6">
        <v>0</v>
      </c>
      <c r="L67" s="6">
        <v>3.0649999999999999</v>
      </c>
      <c r="M67" s="6">
        <v>3.0649999999999999</v>
      </c>
      <c r="N67" s="6">
        <v>3.0649999999999999</v>
      </c>
      <c r="O67" s="6">
        <v>3.0649999999999999</v>
      </c>
      <c r="P67" s="6">
        <v>0</v>
      </c>
      <c r="Q67" s="4" t="s">
        <v>26</v>
      </c>
      <c r="R67" s="4">
        <v>0</v>
      </c>
      <c r="S67" s="4" t="s">
        <v>126</v>
      </c>
      <c r="T67" s="4" t="s">
        <v>287</v>
      </c>
      <c r="U67" s="4">
        <v>0</v>
      </c>
      <c r="V67" s="4">
        <v>32</v>
      </c>
      <c r="W67" s="4">
        <v>34</v>
      </c>
    </row>
    <row r="68" spans="1:23" ht="11.25" customHeight="1" x14ac:dyDescent="0.3">
      <c r="A68" s="4" t="s">
        <v>21</v>
      </c>
      <c r="B68" s="4" t="s">
        <v>35</v>
      </c>
      <c r="C68" s="4" t="s">
        <v>36</v>
      </c>
      <c r="D68" s="4" t="s">
        <v>34</v>
      </c>
      <c r="E68" s="4" t="s">
        <v>25</v>
      </c>
      <c r="F68" s="4" t="s">
        <v>25</v>
      </c>
      <c r="G68" s="4" t="s">
        <v>25</v>
      </c>
      <c r="H68" s="4" t="s">
        <v>37</v>
      </c>
      <c r="I68" s="5">
        <v>44743</v>
      </c>
      <c r="J68" s="6">
        <v>0</v>
      </c>
      <c r="K68" s="6">
        <v>0</v>
      </c>
      <c r="L68" s="6">
        <v>99.21</v>
      </c>
      <c r="M68" s="6">
        <v>99.21</v>
      </c>
      <c r="N68" s="6">
        <v>99.21</v>
      </c>
      <c r="O68" s="6">
        <v>99.21</v>
      </c>
      <c r="P68" s="6">
        <v>0</v>
      </c>
      <c r="Q68" s="4" t="s">
        <v>26</v>
      </c>
      <c r="R68" s="4">
        <v>0</v>
      </c>
      <c r="S68" s="4" t="s">
        <v>127</v>
      </c>
      <c r="T68" s="4" t="s">
        <v>288</v>
      </c>
      <c r="U68" s="4">
        <v>0</v>
      </c>
      <c r="V68" s="4">
        <v>32</v>
      </c>
      <c r="W68" s="4">
        <v>34</v>
      </c>
    </row>
    <row r="69" spans="1:23" ht="11.25" customHeight="1" x14ac:dyDescent="0.3">
      <c r="A69" s="4" t="s">
        <v>28</v>
      </c>
      <c r="B69" s="4" t="s">
        <v>35</v>
      </c>
      <c r="C69" s="4" t="s">
        <v>36</v>
      </c>
      <c r="D69" s="4" t="s">
        <v>34</v>
      </c>
      <c r="E69" s="4" t="s">
        <v>25</v>
      </c>
      <c r="F69" s="4" t="s">
        <v>25</v>
      </c>
      <c r="G69" s="4" t="s">
        <v>25</v>
      </c>
      <c r="H69" s="4" t="s">
        <v>37</v>
      </c>
      <c r="I69" s="5">
        <v>44743</v>
      </c>
      <c r="J69" s="6">
        <v>0</v>
      </c>
      <c r="K69" s="6">
        <v>0</v>
      </c>
      <c r="L69" s="6">
        <v>2.9039999999999999</v>
      </c>
      <c r="M69" s="6">
        <v>2.9039999999999999</v>
      </c>
      <c r="N69" s="6">
        <v>2.9039999999999999</v>
      </c>
      <c r="O69" s="6">
        <v>2.9039999999999999</v>
      </c>
      <c r="P69" s="6">
        <v>0</v>
      </c>
      <c r="Q69" s="4" t="s">
        <v>26</v>
      </c>
      <c r="R69" s="4">
        <v>0</v>
      </c>
      <c r="S69" s="4" t="s">
        <v>127</v>
      </c>
      <c r="T69" s="4" t="s">
        <v>288</v>
      </c>
      <c r="U69" s="4">
        <v>0</v>
      </c>
      <c r="V69" s="4">
        <v>32</v>
      </c>
      <c r="W69" s="4">
        <v>34</v>
      </c>
    </row>
    <row r="70" spans="1:23" ht="11.25" customHeight="1" x14ac:dyDescent="0.3">
      <c r="A70" s="4" t="s">
        <v>52</v>
      </c>
      <c r="B70" s="4" t="s">
        <v>35</v>
      </c>
      <c r="C70" s="4" t="s">
        <v>36</v>
      </c>
      <c r="D70" s="4" t="s">
        <v>34</v>
      </c>
      <c r="E70" s="4" t="s">
        <v>25</v>
      </c>
      <c r="F70" s="4" t="s">
        <v>25</v>
      </c>
      <c r="G70" s="4" t="s">
        <v>25</v>
      </c>
      <c r="H70" s="4" t="s">
        <v>37</v>
      </c>
      <c r="I70" s="5">
        <v>44774</v>
      </c>
      <c r="J70" s="6">
        <v>0</v>
      </c>
      <c r="K70" s="6">
        <v>0</v>
      </c>
      <c r="L70" s="6">
        <v>99.21</v>
      </c>
      <c r="M70" s="6">
        <v>99.21</v>
      </c>
      <c r="N70" s="6">
        <v>99.21</v>
      </c>
      <c r="O70" s="6">
        <v>99.21</v>
      </c>
      <c r="P70" s="6">
        <v>0</v>
      </c>
      <c r="Q70" s="4" t="s">
        <v>26</v>
      </c>
      <c r="R70" s="4">
        <v>0</v>
      </c>
      <c r="S70" s="4" t="s">
        <v>128</v>
      </c>
      <c r="T70" s="4" t="s">
        <v>289</v>
      </c>
      <c r="U70" s="4">
        <v>0</v>
      </c>
      <c r="V70" s="4">
        <v>32</v>
      </c>
      <c r="W70" s="4">
        <v>34</v>
      </c>
    </row>
    <row r="71" spans="1:23" ht="11.25" customHeight="1" x14ac:dyDescent="0.3">
      <c r="A71" s="4" t="s">
        <v>52</v>
      </c>
      <c r="B71" s="4" t="s">
        <v>35</v>
      </c>
      <c r="C71" s="4" t="s">
        <v>36</v>
      </c>
      <c r="D71" s="4" t="s">
        <v>34</v>
      </c>
      <c r="E71" s="4" t="s">
        <v>25</v>
      </c>
      <c r="F71" s="4" t="s">
        <v>25</v>
      </c>
      <c r="G71" s="4" t="s">
        <v>25</v>
      </c>
      <c r="H71" s="4" t="s">
        <v>37</v>
      </c>
      <c r="I71" s="5">
        <v>44774</v>
      </c>
      <c r="J71" s="6">
        <v>0</v>
      </c>
      <c r="K71" s="6">
        <v>0</v>
      </c>
      <c r="L71" s="6">
        <v>2.9039999999999999</v>
      </c>
      <c r="M71" s="6">
        <v>2.9039999999999999</v>
      </c>
      <c r="N71" s="6">
        <v>2.9039999999999999</v>
      </c>
      <c r="O71" s="6">
        <v>2.9039999999999999</v>
      </c>
      <c r="P71" s="6">
        <v>0</v>
      </c>
      <c r="Q71" s="4" t="s">
        <v>26</v>
      </c>
      <c r="R71" s="4">
        <v>0</v>
      </c>
      <c r="S71" s="4" t="s">
        <v>128</v>
      </c>
      <c r="T71" s="4" t="s">
        <v>289</v>
      </c>
      <c r="U71" s="4">
        <v>0</v>
      </c>
      <c r="V71" s="4">
        <v>32</v>
      </c>
      <c r="W71" s="4">
        <v>34</v>
      </c>
    </row>
    <row r="72" spans="1:23" ht="11.25" customHeight="1" x14ac:dyDescent="0.3">
      <c r="A72" s="4" t="s">
        <v>28</v>
      </c>
      <c r="B72" s="4" t="s">
        <v>35</v>
      </c>
      <c r="C72" s="4" t="s">
        <v>36</v>
      </c>
      <c r="D72" s="4" t="s">
        <v>43</v>
      </c>
      <c r="E72" s="4" t="s">
        <v>25</v>
      </c>
      <c r="F72" s="4" t="s">
        <v>25</v>
      </c>
      <c r="G72" s="4" t="s">
        <v>25</v>
      </c>
      <c r="H72" s="4" t="s">
        <v>38</v>
      </c>
      <c r="I72" s="5">
        <v>44593</v>
      </c>
      <c r="J72" s="6">
        <v>0</v>
      </c>
      <c r="K72" s="6">
        <v>0</v>
      </c>
      <c r="L72" s="6">
        <v>4.3380000000000001</v>
      </c>
      <c r="M72" s="6">
        <v>4.1644800000000002</v>
      </c>
      <c r="N72" s="6">
        <v>4.3380000000000001</v>
      </c>
      <c r="O72" s="6">
        <v>4.1644800000000002</v>
      </c>
      <c r="P72" s="6">
        <v>0</v>
      </c>
      <c r="Q72" s="4" t="s">
        <v>26</v>
      </c>
      <c r="R72" s="4">
        <v>0</v>
      </c>
      <c r="S72" s="4" t="s">
        <v>98</v>
      </c>
      <c r="T72" s="4" t="s">
        <v>269</v>
      </c>
      <c r="U72" s="4">
        <v>0</v>
      </c>
      <c r="V72" s="4">
        <v>10</v>
      </c>
      <c r="W72" s="4">
        <v>40</v>
      </c>
    </row>
    <row r="73" spans="1:23" ht="11.25" customHeight="1" x14ac:dyDescent="0.3">
      <c r="A73" s="4" t="s">
        <v>28</v>
      </c>
      <c r="B73" s="4" t="s">
        <v>35</v>
      </c>
      <c r="C73" s="4" t="s">
        <v>36</v>
      </c>
      <c r="D73" s="4" t="s">
        <v>43</v>
      </c>
      <c r="E73" s="4" t="s">
        <v>25</v>
      </c>
      <c r="F73" s="4" t="s">
        <v>25</v>
      </c>
      <c r="G73" s="4" t="s">
        <v>25</v>
      </c>
      <c r="H73" s="4" t="s">
        <v>38</v>
      </c>
      <c r="I73" s="5">
        <v>44621</v>
      </c>
      <c r="J73" s="6">
        <v>0</v>
      </c>
      <c r="K73" s="6">
        <v>0</v>
      </c>
      <c r="L73" s="6">
        <v>1.331</v>
      </c>
      <c r="M73" s="6">
        <v>1.27776</v>
      </c>
      <c r="N73" s="6">
        <v>1.331</v>
      </c>
      <c r="O73" s="6">
        <v>1.27776</v>
      </c>
      <c r="P73" s="6">
        <v>0</v>
      </c>
      <c r="Q73" s="4" t="s">
        <v>26</v>
      </c>
      <c r="R73" s="4">
        <v>0</v>
      </c>
      <c r="S73" s="4" t="s">
        <v>99</v>
      </c>
      <c r="T73" s="4" t="s">
        <v>270</v>
      </c>
      <c r="U73" s="4">
        <v>0</v>
      </c>
      <c r="V73" s="4">
        <v>10</v>
      </c>
      <c r="W73" s="4">
        <v>40</v>
      </c>
    </row>
    <row r="74" spans="1:23" ht="11.25" customHeight="1" x14ac:dyDescent="0.3">
      <c r="A74" s="4" t="s">
        <v>28</v>
      </c>
      <c r="B74" s="4" t="s">
        <v>35</v>
      </c>
      <c r="C74" s="4" t="s">
        <v>36</v>
      </c>
      <c r="D74" s="4" t="s">
        <v>43</v>
      </c>
      <c r="E74" s="4" t="s">
        <v>25</v>
      </c>
      <c r="F74" s="4" t="s">
        <v>25</v>
      </c>
      <c r="G74" s="4" t="s">
        <v>25</v>
      </c>
      <c r="H74" s="4" t="s">
        <v>25</v>
      </c>
      <c r="I74" s="5">
        <v>44593</v>
      </c>
      <c r="J74" s="6">
        <v>41</v>
      </c>
      <c r="K74" s="6">
        <v>39.36</v>
      </c>
      <c r="L74" s="6">
        <v>0</v>
      </c>
      <c r="M74" s="6">
        <v>0</v>
      </c>
      <c r="N74" s="6">
        <v>0</v>
      </c>
      <c r="O74" s="6">
        <v>0</v>
      </c>
      <c r="P74" s="6">
        <v>1</v>
      </c>
      <c r="Q74" s="4" t="s">
        <v>26</v>
      </c>
      <c r="R74" s="4">
        <v>0</v>
      </c>
      <c r="S74" s="4" t="s">
        <v>110</v>
      </c>
      <c r="U74" s="4">
        <v>27</v>
      </c>
      <c r="V74" s="4">
        <v>0</v>
      </c>
      <c r="W74" s="4">
        <v>0</v>
      </c>
    </row>
    <row r="75" spans="1:23" ht="11.25" customHeight="1" x14ac:dyDescent="0.3">
      <c r="A75" s="4" t="s">
        <v>28</v>
      </c>
      <c r="B75" s="4" t="s">
        <v>35</v>
      </c>
      <c r="C75" s="4" t="s">
        <v>36</v>
      </c>
      <c r="D75" s="4" t="s">
        <v>43</v>
      </c>
      <c r="E75" s="4" t="s">
        <v>25</v>
      </c>
      <c r="F75" s="4" t="s">
        <v>25</v>
      </c>
      <c r="G75" s="4" t="s">
        <v>25</v>
      </c>
      <c r="H75" s="4" t="s">
        <v>25</v>
      </c>
      <c r="I75" s="5">
        <v>44621</v>
      </c>
      <c r="J75" s="6">
        <v>32</v>
      </c>
      <c r="K75" s="6">
        <v>30.72</v>
      </c>
      <c r="L75" s="6">
        <v>0</v>
      </c>
      <c r="M75" s="6">
        <v>0</v>
      </c>
      <c r="N75" s="6">
        <v>0</v>
      </c>
      <c r="O75" s="6">
        <v>0</v>
      </c>
      <c r="P75" s="6">
        <v>1</v>
      </c>
      <c r="Q75" s="4" t="s">
        <v>26</v>
      </c>
      <c r="R75" s="4">
        <v>0</v>
      </c>
      <c r="S75" s="4" t="s">
        <v>111</v>
      </c>
      <c r="U75" s="4">
        <v>27</v>
      </c>
      <c r="V75" s="4">
        <v>0</v>
      </c>
      <c r="W75" s="4">
        <v>0</v>
      </c>
    </row>
    <row r="76" spans="1:23" ht="11.25" customHeight="1" x14ac:dyDescent="0.3">
      <c r="A76" s="4" t="s">
        <v>28</v>
      </c>
      <c r="B76" s="4" t="s">
        <v>35</v>
      </c>
      <c r="C76" s="4" t="s">
        <v>36</v>
      </c>
      <c r="D76" s="4" t="s">
        <v>43</v>
      </c>
      <c r="E76" s="4" t="s">
        <v>25</v>
      </c>
      <c r="F76" s="4" t="s">
        <v>25</v>
      </c>
      <c r="G76" s="4" t="s">
        <v>25</v>
      </c>
      <c r="H76" s="4" t="s">
        <v>37</v>
      </c>
      <c r="I76" s="5">
        <v>44593</v>
      </c>
      <c r="J76" s="6">
        <v>0</v>
      </c>
      <c r="K76" s="6">
        <v>0</v>
      </c>
      <c r="L76" s="6">
        <v>0.223</v>
      </c>
      <c r="M76" s="6">
        <v>0.21407999999999999</v>
      </c>
      <c r="N76" s="6">
        <v>0.223</v>
      </c>
      <c r="O76" s="6">
        <v>0.21407999999999999</v>
      </c>
      <c r="P76" s="6">
        <v>0</v>
      </c>
      <c r="Q76" s="4" t="s">
        <v>26</v>
      </c>
      <c r="R76" s="4">
        <v>0</v>
      </c>
      <c r="S76" s="4" t="s">
        <v>122</v>
      </c>
      <c r="T76" s="4" t="s">
        <v>283</v>
      </c>
      <c r="U76" s="4">
        <v>0</v>
      </c>
      <c r="V76" s="4">
        <v>32</v>
      </c>
      <c r="W76" s="4">
        <v>34</v>
      </c>
    </row>
    <row r="77" spans="1:23" ht="11.25" customHeight="1" x14ac:dyDescent="0.3">
      <c r="A77" s="4" t="s">
        <v>28</v>
      </c>
      <c r="B77" s="4" t="s">
        <v>35</v>
      </c>
      <c r="C77" s="4" t="s">
        <v>36</v>
      </c>
      <c r="D77" s="4" t="s">
        <v>43</v>
      </c>
      <c r="E77" s="4" t="s">
        <v>25</v>
      </c>
      <c r="F77" s="4" t="s">
        <v>25</v>
      </c>
      <c r="G77" s="4" t="s">
        <v>25</v>
      </c>
      <c r="H77" s="4" t="s">
        <v>37</v>
      </c>
      <c r="I77" s="5">
        <v>44621</v>
      </c>
      <c r="J77" s="6">
        <v>0</v>
      </c>
      <c r="K77" s="6">
        <v>0</v>
      </c>
      <c r="L77" s="6">
        <v>0.246</v>
      </c>
      <c r="M77" s="6">
        <v>0.23615999999999998</v>
      </c>
      <c r="N77" s="6">
        <v>0.246</v>
      </c>
      <c r="O77" s="6">
        <v>0.23615999999999998</v>
      </c>
      <c r="P77" s="6">
        <v>0</v>
      </c>
      <c r="Q77" s="4" t="s">
        <v>26</v>
      </c>
      <c r="R77" s="4">
        <v>0</v>
      </c>
      <c r="S77" s="4" t="s">
        <v>123</v>
      </c>
      <c r="T77" s="4" t="s">
        <v>284</v>
      </c>
      <c r="U77" s="4">
        <v>0</v>
      </c>
      <c r="V77" s="4">
        <v>32</v>
      </c>
      <c r="W77" s="4">
        <v>34</v>
      </c>
    </row>
    <row r="78" spans="1:23" ht="11.25" customHeight="1" x14ac:dyDescent="0.3">
      <c r="A78" s="4" t="s">
        <v>21</v>
      </c>
      <c r="B78" s="4" t="s">
        <v>35</v>
      </c>
      <c r="C78" s="4" t="s">
        <v>36</v>
      </c>
      <c r="D78" s="4" t="s">
        <v>48</v>
      </c>
      <c r="E78" s="4" t="s">
        <v>49</v>
      </c>
      <c r="F78" s="4" t="s">
        <v>25</v>
      </c>
      <c r="G78" s="4" t="s">
        <v>25</v>
      </c>
      <c r="H78" s="4" t="s">
        <v>38</v>
      </c>
      <c r="I78" s="5">
        <v>44501</v>
      </c>
      <c r="J78" s="6">
        <v>0</v>
      </c>
      <c r="K78" s="6">
        <v>0</v>
      </c>
      <c r="L78" s="6">
        <v>40.524999999999999</v>
      </c>
      <c r="M78" s="6">
        <v>38.093499999999999</v>
      </c>
      <c r="N78" s="6">
        <v>40.524999999999999</v>
      </c>
      <c r="O78" s="6">
        <v>38.093499999999999</v>
      </c>
      <c r="P78" s="6">
        <v>0</v>
      </c>
      <c r="Q78" s="4" t="s">
        <v>26</v>
      </c>
      <c r="R78" s="4">
        <v>0</v>
      </c>
      <c r="S78" s="4" t="s">
        <v>95</v>
      </c>
      <c r="T78" s="4" t="s">
        <v>266</v>
      </c>
      <c r="U78" s="4">
        <v>0</v>
      </c>
      <c r="V78" s="4">
        <v>10</v>
      </c>
      <c r="W78" s="4">
        <v>40</v>
      </c>
    </row>
    <row r="79" spans="1:23" ht="11.25" customHeight="1" x14ac:dyDescent="0.3">
      <c r="A79" s="4" t="s">
        <v>21</v>
      </c>
      <c r="B79" s="4" t="s">
        <v>35</v>
      </c>
      <c r="C79" s="4" t="s">
        <v>36</v>
      </c>
      <c r="D79" s="4" t="s">
        <v>48</v>
      </c>
      <c r="E79" s="4" t="s">
        <v>49</v>
      </c>
      <c r="F79" s="4" t="s">
        <v>25</v>
      </c>
      <c r="G79" s="4" t="s">
        <v>25</v>
      </c>
      <c r="H79" s="4" t="s">
        <v>38</v>
      </c>
      <c r="I79" s="5">
        <v>44531</v>
      </c>
      <c r="J79" s="6">
        <v>0</v>
      </c>
      <c r="K79" s="6">
        <v>0</v>
      </c>
      <c r="L79" s="6">
        <v>44.106000000000002</v>
      </c>
      <c r="M79" s="6">
        <v>41.45964</v>
      </c>
      <c r="N79" s="6">
        <v>44.106000000000002</v>
      </c>
      <c r="O79" s="6">
        <v>41.45964</v>
      </c>
      <c r="P79" s="6">
        <v>0</v>
      </c>
      <c r="Q79" s="4" t="s">
        <v>26</v>
      </c>
      <c r="R79" s="4">
        <v>0</v>
      </c>
      <c r="S79" s="4" t="s">
        <v>96</v>
      </c>
      <c r="T79" s="4" t="s">
        <v>267</v>
      </c>
      <c r="U79" s="4">
        <v>0</v>
      </c>
      <c r="V79" s="4">
        <v>10</v>
      </c>
      <c r="W79" s="4">
        <v>40</v>
      </c>
    </row>
    <row r="80" spans="1:23" ht="11.25" customHeight="1" x14ac:dyDescent="0.3">
      <c r="A80" s="4" t="s">
        <v>21</v>
      </c>
      <c r="B80" s="4" t="s">
        <v>35</v>
      </c>
      <c r="C80" s="4" t="s">
        <v>36</v>
      </c>
      <c r="D80" s="4" t="s">
        <v>48</v>
      </c>
      <c r="E80" s="4" t="s">
        <v>49</v>
      </c>
      <c r="F80" s="4" t="s">
        <v>25</v>
      </c>
      <c r="G80" s="4" t="s">
        <v>25</v>
      </c>
      <c r="H80" s="4" t="s">
        <v>38</v>
      </c>
      <c r="I80" s="5">
        <v>44562</v>
      </c>
      <c r="J80" s="6">
        <v>0</v>
      </c>
      <c r="K80" s="6">
        <v>0</v>
      </c>
      <c r="L80" s="6">
        <v>47.715000000000003</v>
      </c>
      <c r="M80" s="6">
        <v>44.8521</v>
      </c>
      <c r="N80" s="6">
        <v>47.715000000000003</v>
      </c>
      <c r="O80" s="6">
        <v>44.8521</v>
      </c>
      <c r="P80" s="6">
        <v>0</v>
      </c>
      <c r="Q80" s="4" t="s">
        <v>26</v>
      </c>
      <c r="R80" s="4">
        <v>0</v>
      </c>
      <c r="S80" s="4" t="s">
        <v>97</v>
      </c>
      <c r="T80" s="4" t="s">
        <v>268</v>
      </c>
      <c r="U80" s="4">
        <v>0</v>
      </c>
      <c r="V80" s="4">
        <v>10</v>
      </c>
      <c r="W80" s="4">
        <v>40</v>
      </c>
    </row>
    <row r="81" spans="1:23" ht="11.25" customHeight="1" x14ac:dyDescent="0.3">
      <c r="A81" s="4" t="s">
        <v>21</v>
      </c>
      <c r="B81" s="4" t="s">
        <v>35</v>
      </c>
      <c r="C81" s="4" t="s">
        <v>36</v>
      </c>
      <c r="D81" s="4" t="s">
        <v>48</v>
      </c>
      <c r="E81" s="4" t="s">
        <v>49</v>
      </c>
      <c r="F81" s="4" t="s">
        <v>25</v>
      </c>
      <c r="G81" s="4" t="s">
        <v>25</v>
      </c>
      <c r="H81" s="4" t="s">
        <v>38</v>
      </c>
      <c r="I81" s="5">
        <v>44593</v>
      </c>
      <c r="J81" s="6">
        <v>0</v>
      </c>
      <c r="K81" s="6">
        <v>0</v>
      </c>
      <c r="L81" s="6">
        <v>27.297999999999998</v>
      </c>
      <c r="M81" s="6">
        <v>25.660119999999999</v>
      </c>
      <c r="N81" s="6">
        <v>27.297999999999998</v>
      </c>
      <c r="O81" s="6">
        <v>25.660119999999999</v>
      </c>
      <c r="P81" s="6">
        <v>0</v>
      </c>
      <c r="Q81" s="4" t="s">
        <v>26</v>
      </c>
      <c r="R81" s="4">
        <v>0</v>
      </c>
      <c r="S81" s="4" t="s">
        <v>98</v>
      </c>
      <c r="T81" s="4" t="s">
        <v>269</v>
      </c>
      <c r="U81" s="4">
        <v>0</v>
      </c>
      <c r="V81" s="4">
        <v>10</v>
      </c>
      <c r="W81" s="4">
        <v>40</v>
      </c>
    </row>
    <row r="82" spans="1:23" ht="11.25" customHeight="1" x14ac:dyDescent="0.3">
      <c r="A82" s="4" t="s">
        <v>21</v>
      </c>
      <c r="B82" s="4" t="s">
        <v>35</v>
      </c>
      <c r="C82" s="4" t="s">
        <v>36</v>
      </c>
      <c r="D82" s="4" t="s">
        <v>48</v>
      </c>
      <c r="E82" s="4" t="s">
        <v>49</v>
      </c>
      <c r="F82" s="4" t="s">
        <v>25</v>
      </c>
      <c r="G82" s="4" t="s">
        <v>25</v>
      </c>
      <c r="H82" s="4" t="s">
        <v>38</v>
      </c>
      <c r="I82" s="5">
        <v>44621</v>
      </c>
      <c r="J82" s="6">
        <v>0</v>
      </c>
      <c r="K82" s="6">
        <v>0</v>
      </c>
      <c r="L82" s="6">
        <v>33.279000000000003</v>
      </c>
      <c r="M82" s="6">
        <v>31.282260000000001</v>
      </c>
      <c r="N82" s="6">
        <v>33.279000000000003</v>
      </c>
      <c r="O82" s="6">
        <v>31.282260000000001</v>
      </c>
      <c r="P82" s="6">
        <v>0</v>
      </c>
      <c r="Q82" s="4" t="s">
        <v>26</v>
      </c>
      <c r="R82" s="4">
        <v>0</v>
      </c>
      <c r="S82" s="4" t="s">
        <v>99</v>
      </c>
      <c r="T82" s="4" t="s">
        <v>270</v>
      </c>
      <c r="U82" s="4">
        <v>0</v>
      </c>
      <c r="V82" s="4">
        <v>10</v>
      </c>
      <c r="W82" s="4">
        <v>40</v>
      </c>
    </row>
    <row r="83" spans="1:23" ht="11.25" customHeight="1" x14ac:dyDescent="0.3">
      <c r="A83" s="4" t="s">
        <v>21</v>
      </c>
      <c r="B83" s="4" t="s">
        <v>35</v>
      </c>
      <c r="C83" s="4" t="s">
        <v>36</v>
      </c>
      <c r="D83" s="4" t="s">
        <v>48</v>
      </c>
      <c r="E83" s="4" t="s">
        <v>49</v>
      </c>
      <c r="F83" s="4" t="s">
        <v>25</v>
      </c>
      <c r="G83" s="4" t="s">
        <v>25</v>
      </c>
      <c r="H83" s="4" t="s">
        <v>38</v>
      </c>
      <c r="I83" s="5">
        <v>44652</v>
      </c>
      <c r="J83" s="6">
        <v>0</v>
      </c>
      <c r="K83" s="6">
        <v>0</v>
      </c>
      <c r="L83" s="6">
        <v>32.734999999999999</v>
      </c>
      <c r="M83" s="6">
        <v>30.770900000000001</v>
      </c>
      <c r="N83" s="6">
        <v>32.734999999999999</v>
      </c>
      <c r="O83" s="6">
        <v>30.770900000000001</v>
      </c>
      <c r="P83" s="6">
        <v>0</v>
      </c>
      <c r="Q83" s="4" t="s">
        <v>26</v>
      </c>
      <c r="R83" s="4">
        <v>0</v>
      </c>
      <c r="S83" s="4" t="s">
        <v>100</v>
      </c>
      <c r="T83" s="4" t="s">
        <v>271</v>
      </c>
      <c r="U83" s="4">
        <v>0</v>
      </c>
      <c r="V83" s="4">
        <v>10</v>
      </c>
      <c r="W83" s="4">
        <v>40</v>
      </c>
    </row>
    <row r="84" spans="1:23" ht="11.25" customHeight="1" x14ac:dyDescent="0.3">
      <c r="A84" s="4" t="s">
        <v>21</v>
      </c>
      <c r="B84" s="4" t="s">
        <v>35</v>
      </c>
      <c r="C84" s="4" t="s">
        <v>36</v>
      </c>
      <c r="D84" s="4" t="s">
        <v>48</v>
      </c>
      <c r="E84" s="4" t="s">
        <v>49</v>
      </c>
      <c r="F84" s="4" t="s">
        <v>25</v>
      </c>
      <c r="G84" s="4" t="s">
        <v>25</v>
      </c>
      <c r="H84" s="4" t="s">
        <v>38</v>
      </c>
      <c r="I84" s="5">
        <v>44682</v>
      </c>
      <c r="J84" s="6">
        <v>0</v>
      </c>
      <c r="K84" s="6">
        <v>0</v>
      </c>
      <c r="L84" s="6">
        <v>34.439</v>
      </c>
      <c r="M84" s="6">
        <v>32.372660000000003</v>
      </c>
      <c r="N84" s="6">
        <v>34.439</v>
      </c>
      <c r="O84" s="6">
        <v>32.372660000000003</v>
      </c>
      <c r="P84" s="6">
        <v>0</v>
      </c>
      <c r="Q84" s="4" t="s">
        <v>26</v>
      </c>
      <c r="R84" s="4">
        <v>0</v>
      </c>
      <c r="S84" s="4" t="s">
        <v>101</v>
      </c>
      <c r="T84" s="4" t="s">
        <v>272</v>
      </c>
      <c r="U84" s="4">
        <v>0</v>
      </c>
      <c r="V84" s="4">
        <v>10</v>
      </c>
      <c r="W84" s="4">
        <v>40</v>
      </c>
    </row>
    <row r="85" spans="1:23" ht="11.25" customHeight="1" x14ac:dyDescent="0.3">
      <c r="A85" s="4" t="s">
        <v>21</v>
      </c>
      <c r="B85" s="4" t="s">
        <v>35</v>
      </c>
      <c r="C85" s="4" t="s">
        <v>36</v>
      </c>
      <c r="D85" s="4" t="s">
        <v>48</v>
      </c>
      <c r="E85" s="4" t="s">
        <v>49</v>
      </c>
      <c r="F85" s="4" t="s">
        <v>25</v>
      </c>
      <c r="G85" s="4" t="s">
        <v>25</v>
      </c>
      <c r="H85" s="4" t="s">
        <v>38</v>
      </c>
      <c r="I85" s="5">
        <v>44713</v>
      </c>
      <c r="J85" s="6">
        <v>0</v>
      </c>
      <c r="K85" s="6">
        <v>0</v>
      </c>
      <c r="L85" s="6">
        <v>34.14</v>
      </c>
      <c r="M85" s="6">
        <v>32.0916</v>
      </c>
      <c r="N85" s="6">
        <v>34.14</v>
      </c>
      <c r="O85" s="6">
        <v>32.0916</v>
      </c>
      <c r="P85" s="6">
        <v>0</v>
      </c>
      <c r="Q85" s="4" t="s">
        <v>26</v>
      </c>
      <c r="R85" s="4">
        <v>0</v>
      </c>
      <c r="S85" s="4" t="s">
        <v>102</v>
      </c>
      <c r="T85" s="4" t="s">
        <v>273</v>
      </c>
      <c r="U85" s="4">
        <v>0</v>
      </c>
      <c r="V85" s="4">
        <v>10</v>
      </c>
      <c r="W85" s="4">
        <v>40</v>
      </c>
    </row>
    <row r="86" spans="1:23" ht="11.25" customHeight="1" x14ac:dyDescent="0.3">
      <c r="A86" s="4" t="s">
        <v>21</v>
      </c>
      <c r="B86" s="4" t="s">
        <v>35</v>
      </c>
      <c r="C86" s="4" t="s">
        <v>36</v>
      </c>
      <c r="D86" s="4" t="s">
        <v>48</v>
      </c>
      <c r="E86" s="4" t="s">
        <v>49</v>
      </c>
      <c r="F86" s="4" t="s">
        <v>25</v>
      </c>
      <c r="G86" s="4" t="s">
        <v>25</v>
      </c>
      <c r="H86" s="4" t="s">
        <v>38</v>
      </c>
      <c r="I86" s="5">
        <v>44743</v>
      </c>
      <c r="J86" s="6">
        <v>0</v>
      </c>
      <c r="K86" s="6">
        <v>0</v>
      </c>
      <c r="L86" s="6">
        <v>39.697000000000003</v>
      </c>
      <c r="M86" s="6">
        <v>37.315179999999998</v>
      </c>
      <c r="N86" s="6">
        <v>39.697000000000003</v>
      </c>
      <c r="O86" s="6">
        <v>37.315179999999998</v>
      </c>
      <c r="P86" s="6">
        <v>0</v>
      </c>
      <c r="Q86" s="4" t="s">
        <v>26</v>
      </c>
      <c r="R86" s="4">
        <v>0</v>
      </c>
      <c r="S86" s="4" t="s">
        <v>103</v>
      </c>
      <c r="T86" s="4" t="s">
        <v>274</v>
      </c>
      <c r="U86" s="4">
        <v>0</v>
      </c>
      <c r="V86" s="4">
        <v>10</v>
      </c>
      <c r="W86" s="4">
        <v>40</v>
      </c>
    </row>
    <row r="87" spans="1:23" ht="11.25" customHeight="1" x14ac:dyDescent="0.3">
      <c r="A87" s="4" t="s">
        <v>52</v>
      </c>
      <c r="B87" s="4" t="s">
        <v>35</v>
      </c>
      <c r="C87" s="4" t="s">
        <v>36</v>
      </c>
      <c r="D87" s="4" t="s">
        <v>48</v>
      </c>
      <c r="E87" s="4" t="s">
        <v>49</v>
      </c>
      <c r="F87" s="4" t="s">
        <v>25</v>
      </c>
      <c r="G87" s="4" t="s">
        <v>25</v>
      </c>
      <c r="H87" s="4" t="s">
        <v>38</v>
      </c>
      <c r="I87" s="5">
        <v>44774</v>
      </c>
      <c r="J87" s="6">
        <v>0</v>
      </c>
      <c r="K87" s="6">
        <v>0</v>
      </c>
      <c r="L87" s="6">
        <v>39.697000000000003</v>
      </c>
      <c r="M87" s="6">
        <v>37.315179999999998</v>
      </c>
      <c r="N87" s="6">
        <v>39.697000000000003</v>
      </c>
      <c r="O87" s="6">
        <v>37.315179999999998</v>
      </c>
      <c r="P87" s="6">
        <v>0</v>
      </c>
      <c r="Q87" s="4" t="s">
        <v>26</v>
      </c>
      <c r="R87" s="4">
        <v>0</v>
      </c>
      <c r="S87" s="4" t="s">
        <v>104</v>
      </c>
      <c r="T87" s="4" t="s">
        <v>275</v>
      </c>
      <c r="U87" s="4">
        <v>0</v>
      </c>
      <c r="V87" s="4">
        <v>10</v>
      </c>
      <c r="W87" s="4">
        <v>40</v>
      </c>
    </row>
    <row r="88" spans="1:23" ht="11.25" customHeight="1" x14ac:dyDescent="0.3">
      <c r="A88" s="4" t="s">
        <v>21</v>
      </c>
      <c r="B88" s="4" t="s">
        <v>35</v>
      </c>
      <c r="C88" s="4" t="s">
        <v>36</v>
      </c>
      <c r="D88" s="4" t="s">
        <v>48</v>
      </c>
      <c r="E88" s="4" t="s">
        <v>49</v>
      </c>
      <c r="F88" s="4" t="s">
        <v>25</v>
      </c>
      <c r="G88" s="4" t="s">
        <v>25</v>
      </c>
      <c r="H88" s="4" t="s">
        <v>25</v>
      </c>
      <c r="I88" s="5">
        <v>44501</v>
      </c>
      <c r="J88" s="6">
        <v>100</v>
      </c>
      <c r="K88" s="6">
        <v>94</v>
      </c>
      <c r="L88" s="6">
        <v>0</v>
      </c>
      <c r="M88" s="6">
        <v>0</v>
      </c>
      <c r="N88" s="6">
        <v>0</v>
      </c>
      <c r="O88" s="6">
        <v>0</v>
      </c>
      <c r="P88" s="6">
        <v>1</v>
      </c>
      <c r="Q88" s="4" t="s">
        <v>26</v>
      </c>
      <c r="R88" s="4">
        <v>0</v>
      </c>
      <c r="S88" s="4" t="s">
        <v>107</v>
      </c>
      <c r="U88" s="4">
        <v>27</v>
      </c>
      <c r="V88" s="4">
        <v>0</v>
      </c>
      <c r="W88" s="4">
        <v>0</v>
      </c>
    </row>
    <row r="89" spans="1:23" ht="11.25" customHeight="1" x14ac:dyDescent="0.3">
      <c r="A89" s="4" t="s">
        <v>21</v>
      </c>
      <c r="B89" s="4" t="s">
        <v>35</v>
      </c>
      <c r="C89" s="4" t="s">
        <v>36</v>
      </c>
      <c r="D89" s="4" t="s">
        <v>48</v>
      </c>
      <c r="E89" s="4" t="s">
        <v>49</v>
      </c>
      <c r="F89" s="4" t="s">
        <v>25</v>
      </c>
      <c r="G89" s="4" t="s">
        <v>25</v>
      </c>
      <c r="H89" s="4" t="s">
        <v>25</v>
      </c>
      <c r="I89" s="5">
        <v>44531</v>
      </c>
      <c r="J89" s="6">
        <v>100</v>
      </c>
      <c r="K89" s="6">
        <v>94</v>
      </c>
      <c r="L89" s="6">
        <v>0</v>
      </c>
      <c r="M89" s="6">
        <v>0</v>
      </c>
      <c r="N89" s="6">
        <v>0</v>
      </c>
      <c r="O89" s="6">
        <v>0</v>
      </c>
      <c r="P89" s="6">
        <v>1</v>
      </c>
      <c r="Q89" s="4" t="s">
        <v>26</v>
      </c>
      <c r="R89" s="4">
        <v>0</v>
      </c>
      <c r="S89" s="4" t="s">
        <v>108</v>
      </c>
      <c r="U89" s="4">
        <v>27</v>
      </c>
      <c r="V89" s="4">
        <v>0</v>
      </c>
      <c r="W89" s="4">
        <v>0</v>
      </c>
    </row>
    <row r="90" spans="1:23" ht="11.25" customHeight="1" x14ac:dyDescent="0.3">
      <c r="A90" s="4" t="s">
        <v>21</v>
      </c>
      <c r="B90" s="4" t="s">
        <v>35</v>
      </c>
      <c r="C90" s="4" t="s">
        <v>36</v>
      </c>
      <c r="D90" s="4" t="s">
        <v>48</v>
      </c>
      <c r="E90" s="4" t="s">
        <v>49</v>
      </c>
      <c r="F90" s="4" t="s">
        <v>25</v>
      </c>
      <c r="G90" s="4" t="s">
        <v>25</v>
      </c>
      <c r="H90" s="4" t="s">
        <v>25</v>
      </c>
      <c r="I90" s="5">
        <v>44562</v>
      </c>
      <c r="J90" s="6">
        <v>101</v>
      </c>
      <c r="K90" s="6">
        <v>94.94</v>
      </c>
      <c r="L90" s="6">
        <v>0</v>
      </c>
      <c r="M90" s="6">
        <v>0</v>
      </c>
      <c r="N90" s="6">
        <v>0</v>
      </c>
      <c r="O90" s="6">
        <v>0</v>
      </c>
      <c r="P90" s="6">
        <v>1</v>
      </c>
      <c r="Q90" s="4" t="s">
        <v>26</v>
      </c>
      <c r="R90" s="4">
        <v>0</v>
      </c>
      <c r="S90" s="4" t="s">
        <v>109</v>
      </c>
      <c r="U90" s="4">
        <v>27</v>
      </c>
      <c r="V90" s="4">
        <v>0</v>
      </c>
      <c r="W90" s="4">
        <v>0</v>
      </c>
    </row>
    <row r="91" spans="1:23" ht="11.25" customHeight="1" x14ac:dyDescent="0.3">
      <c r="A91" s="4" t="s">
        <v>21</v>
      </c>
      <c r="B91" s="4" t="s">
        <v>35</v>
      </c>
      <c r="C91" s="4" t="s">
        <v>36</v>
      </c>
      <c r="D91" s="4" t="s">
        <v>48</v>
      </c>
      <c r="E91" s="4" t="s">
        <v>49</v>
      </c>
      <c r="F91" s="4" t="s">
        <v>25</v>
      </c>
      <c r="G91" s="4" t="s">
        <v>25</v>
      </c>
      <c r="H91" s="4" t="s">
        <v>25</v>
      </c>
      <c r="I91" s="5">
        <v>44593</v>
      </c>
      <c r="J91" s="6">
        <v>100</v>
      </c>
      <c r="K91" s="6">
        <v>94</v>
      </c>
      <c r="L91" s="6">
        <v>0</v>
      </c>
      <c r="M91" s="6">
        <v>0</v>
      </c>
      <c r="N91" s="6">
        <v>0</v>
      </c>
      <c r="O91" s="6">
        <v>0</v>
      </c>
      <c r="P91" s="6">
        <v>1</v>
      </c>
      <c r="Q91" s="4" t="s">
        <v>26</v>
      </c>
      <c r="R91" s="4">
        <v>0</v>
      </c>
      <c r="S91" s="4" t="s">
        <v>110</v>
      </c>
      <c r="U91" s="4">
        <v>27</v>
      </c>
      <c r="V91" s="4">
        <v>0</v>
      </c>
      <c r="W91" s="4">
        <v>0</v>
      </c>
    </row>
    <row r="92" spans="1:23" ht="11.25" customHeight="1" x14ac:dyDescent="0.3">
      <c r="A92" s="4" t="s">
        <v>21</v>
      </c>
      <c r="B92" s="4" t="s">
        <v>35</v>
      </c>
      <c r="C92" s="4" t="s">
        <v>36</v>
      </c>
      <c r="D92" s="4" t="s">
        <v>48</v>
      </c>
      <c r="E92" s="4" t="s">
        <v>49</v>
      </c>
      <c r="F92" s="4" t="s">
        <v>25</v>
      </c>
      <c r="G92" s="4" t="s">
        <v>25</v>
      </c>
      <c r="H92" s="4" t="s">
        <v>25</v>
      </c>
      <c r="I92" s="5">
        <v>44621</v>
      </c>
      <c r="J92" s="6">
        <v>100</v>
      </c>
      <c r="K92" s="6">
        <v>94</v>
      </c>
      <c r="L92" s="6">
        <v>0</v>
      </c>
      <c r="M92" s="6">
        <v>0</v>
      </c>
      <c r="N92" s="6">
        <v>0</v>
      </c>
      <c r="O92" s="6">
        <v>0</v>
      </c>
      <c r="P92" s="6">
        <v>1</v>
      </c>
      <c r="Q92" s="4" t="s">
        <v>26</v>
      </c>
      <c r="R92" s="4">
        <v>0</v>
      </c>
      <c r="S92" s="4" t="s">
        <v>111</v>
      </c>
      <c r="U92" s="4">
        <v>27</v>
      </c>
      <c r="V92" s="4">
        <v>0</v>
      </c>
      <c r="W92" s="4">
        <v>0</v>
      </c>
    </row>
    <row r="93" spans="1:23" ht="11.25" customHeight="1" x14ac:dyDescent="0.3">
      <c r="A93" s="4" t="s">
        <v>21</v>
      </c>
      <c r="B93" s="4" t="s">
        <v>35</v>
      </c>
      <c r="C93" s="4" t="s">
        <v>36</v>
      </c>
      <c r="D93" s="4" t="s">
        <v>48</v>
      </c>
      <c r="E93" s="4" t="s">
        <v>49</v>
      </c>
      <c r="F93" s="4" t="s">
        <v>25</v>
      </c>
      <c r="G93" s="4" t="s">
        <v>25</v>
      </c>
      <c r="H93" s="4" t="s">
        <v>25</v>
      </c>
      <c r="I93" s="5">
        <v>44652</v>
      </c>
      <c r="J93" s="6">
        <v>100</v>
      </c>
      <c r="K93" s="6">
        <v>94</v>
      </c>
      <c r="L93" s="6">
        <v>0</v>
      </c>
      <c r="M93" s="6">
        <v>0</v>
      </c>
      <c r="N93" s="6">
        <v>0</v>
      </c>
      <c r="O93" s="6">
        <v>0</v>
      </c>
      <c r="P93" s="6">
        <v>1</v>
      </c>
      <c r="Q93" s="4" t="s">
        <v>26</v>
      </c>
      <c r="R93" s="4">
        <v>0</v>
      </c>
      <c r="S93" s="4" t="s">
        <v>112</v>
      </c>
      <c r="U93" s="4">
        <v>27</v>
      </c>
      <c r="V93" s="4">
        <v>0</v>
      </c>
      <c r="W93" s="4">
        <v>0</v>
      </c>
    </row>
    <row r="94" spans="1:23" ht="11.25" customHeight="1" x14ac:dyDescent="0.3">
      <c r="A94" s="4" t="s">
        <v>21</v>
      </c>
      <c r="B94" s="4" t="s">
        <v>35</v>
      </c>
      <c r="C94" s="4" t="s">
        <v>36</v>
      </c>
      <c r="D94" s="4" t="s">
        <v>48</v>
      </c>
      <c r="E94" s="4" t="s">
        <v>49</v>
      </c>
      <c r="F94" s="4" t="s">
        <v>25</v>
      </c>
      <c r="G94" s="4" t="s">
        <v>25</v>
      </c>
      <c r="H94" s="4" t="s">
        <v>25</v>
      </c>
      <c r="I94" s="5">
        <v>44682</v>
      </c>
      <c r="J94" s="6">
        <v>100</v>
      </c>
      <c r="K94" s="6">
        <v>94</v>
      </c>
      <c r="L94" s="6">
        <v>0</v>
      </c>
      <c r="M94" s="6">
        <v>0</v>
      </c>
      <c r="N94" s="6">
        <v>0</v>
      </c>
      <c r="O94" s="6">
        <v>0</v>
      </c>
      <c r="P94" s="6">
        <v>1</v>
      </c>
      <c r="Q94" s="4" t="s">
        <v>26</v>
      </c>
      <c r="R94" s="4">
        <v>0</v>
      </c>
      <c r="S94" s="4" t="s">
        <v>113</v>
      </c>
      <c r="U94" s="4">
        <v>27</v>
      </c>
      <c r="V94" s="4">
        <v>0</v>
      </c>
      <c r="W94" s="4">
        <v>0</v>
      </c>
    </row>
    <row r="95" spans="1:23" ht="11.25" customHeight="1" x14ac:dyDescent="0.3">
      <c r="A95" s="4" t="s">
        <v>21</v>
      </c>
      <c r="B95" s="4" t="s">
        <v>35</v>
      </c>
      <c r="C95" s="4" t="s">
        <v>36</v>
      </c>
      <c r="D95" s="4" t="s">
        <v>48</v>
      </c>
      <c r="E95" s="4" t="s">
        <v>49</v>
      </c>
      <c r="F95" s="4" t="s">
        <v>25</v>
      </c>
      <c r="G95" s="4" t="s">
        <v>25</v>
      </c>
      <c r="H95" s="4" t="s">
        <v>25</v>
      </c>
      <c r="I95" s="5">
        <v>44713</v>
      </c>
      <c r="J95" s="6">
        <v>100</v>
      </c>
      <c r="K95" s="6">
        <v>94</v>
      </c>
      <c r="L95" s="6">
        <v>0</v>
      </c>
      <c r="M95" s="6">
        <v>0</v>
      </c>
      <c r="N95" s="6">
        <v>0</v>
      </c>
      <c r="O95" s="6">
        <v>0</v>
      </c>
      <c r="P95" s="6">
        <v>1</v>
      </c>
      <c r="Q95" s="4" t="s">
        <v>26</v>
      </c>
      <c r="R95" s="4">
        <v>0</v>
      </c>
      <c r="S95" s="4" t="s">
        <v>114</v>
      </c>
      <c r="U95" s="4">
        <v>27</v>
      </c>
      <c r="V95" s="4">
        <v>0</v>
      </c>
      <c r="W95" s="4">
        <v>0</v>
      </c>
    </row>
    <row r="96" spans="1:23" ht="11.25" customHeight="1" x14ac:dyDescent="0.3">
      <c r="A96" s="4" t="s">
        <v>21</v>
      </c>
      <c r="B96" s="4" t="s">
        <v>35</v>
      </c>
      <c r="C96" s="4" t="s">
        <v>36</v>
      </c>
      <c r="D96" s="4" t="s">
        <v>48</v>
      </c>
      <c r="E96" s="4" t="s">
        <v>49</v>
      </c>
      <c r="F96" s="4" t="s">
        <v>25</v>
      </c>
      <c r="G96" s="4" t="s">
        <v>25</v>
      </c>
      <c r="H96" s="4" t="s">
        <v>25</v>
      </c>
      <c r="I96" s="5">
        <v>44743</v>
      </c>
      <c r="J96" s="6">
        <v>100</v>
      </c>
      <c r="K96" s="6">
        <v>94</v>
      </c>
      <c r="L96" s="6">
        <v>0</v>
      </c>
      <c r="M96" s="6">
        <v>0</v>
      </c>
      <c r="N96" s="6">
        <v>0</v>
      </c>
      <c r="O96" s="6">
        <v>0</v>
      </c>
      <c r="P96" s="6">
        <v>1</v>
      </c>
      <c r="Q96" s="4" t="s">
        <v>26</v>
      </c>
      <c r="R96" s="4">
        <v>0</v>
      </c>
      <c r="S96" s="4" t="s">
        <v>115</v>
      </c>
      <c r="U96" s="4">
        <v>27</v>
      </c>
      <c r="V96" s="4">
        <v>0</v>
      </c>
      <c r="W96" s="4">
        <v>0</v>
      </c>
    </row>
    <row r="97" spans="1:23" ht="11.25" customHeight="1" x14ac:dyDescent="0.3">
      <c r="A97" s="4" t="s">
        <v>52</v>
      </c>
      <c r="B97" s="4" t="s">
        <v>35</v>
      </c>
      <c r="C97" s="4" t="s">
        <v>36</v>
      </c>
      <c r="D97" s="4" t="s">
        <v>48</v>
      </c>
      <c r="E97" s="4" t="s">
        <v>49</v>
      </c>
      <c r="F97" s="4" t="s">
        <v>25</v>
      </c>
      <c r="G97" s="4" t="s">
        <v>25</v>
      </c>
      <c r="H97" s="4" t="s">
        <v>25</v>
      </c>
      <c r="I97" s="5">
        <v>44774</v>
      </c>
      <c r="J97" s="6">
        <v>100</v>
      </c>
      <c r="K97" s="6">
        <v>94</v>
      </c>
      <c r="L97" s="6">
        <v>0</v>
      </c>
      <c r="M97" s="6">
        <v>0</v>
      </c>
      <c r="N97" s="6">
        <v>0</v>
      </c>
      <c r="O97" s="6">
        <v>0</v>
      </c>
      <c r="P97" s="6">
        <v>1</v>
      </c>
      <c r="Q97" s="4" t="s">
        <v>26</v>
      </c>
      <c r="R97" s="4">
        <v>0</v>
      </c>
      <c r="S97" s="4" t="s">
        <v>116</v>
      </c>
      <c r="U97" s="4">
        <v>27</v>
      </c>
      <c r="V97" s="4">
        <v>0</v>
      </c>
      <c r="W97" s="4">
        <v>0</v>
      </c>
    </row>
    <row r="98" spans="1:23" ht="11.25" customHeight="1" x14ac:dyDescent="0.3">
      <c r="A98" s="4" t="s">
        <v>21</v>
      </c>
      <c r="B98" s="4" t="s">
        <v>35</v>
      </c>
      <c r="C98" s="4" t="s">
        <v>36</v>
      </c>
      <c r="D98" s="4" t="s">
        <v>48</v>
      </c>
      <c r="E98" s="4" t="s">
        <v>49</v>
      </c>
      <c r="F98" s="4" t="s">
        <v>25</v>
      </c>
      <c r="G98" s="4" t="s">
        <v>25</v>
      </c>
      <c r="H98" s="4" t="s">
        <v>37</v>
      </c>
      <c r="I98" s="5">
        <v>44501</v>
      </c>
      <c r="J98" s="6">
        <v>0</v>
      </c>
      <c r="K98" s="6">
        <v>0</v>
      </c>
      <c r="L98" s="6">
        <v>4.5609999999999999</v>
      </c>
      <c r="M98" s="6">
        <v>4.2873400000000004</v>
      </c>
      <c r="N98" s="6">
        <v>4.5609999999999999</v>
      </c>
      <c r="O98" s="6">
        <v>4.2873400000000004</v>
      </c>
      <c r="P98" s="6">
        <v>0</v>
      </c>
      <c r="Q98" s="4" t="s">
        <v>26</v>
      </c>
      <c r="R98" s="4">
        <v>0</v>
      </c>
      <c r="S98" s="4" t="s">
        <v>119</v>
      </c>
      <c r="T98" s="4" t="s">
        <v>280</v>
      </c>
      <c r="U98" s="4">
        <v>0</v>
      </c>
      <c r="V98" s="4">
        <v>32</v>
      </c>
      <c r="W98" s="4">
        <v>34</v>
      </c>
    </row>
    <row r="99" spans="1:23" ht="11.25" customHeight="1" x14ac:dyDescent="0.3">
      <c r="A99" s="4" t="s">
        <v>21</v>
      </c>
      <c r="B99" s="4" t="s">
        <v>35</v>
      </c>
      <c r="C99" s="4" t="s">
        <v>36</v>
      </c>
      <c r="D99" s="4" t="s">
        <v>48</v>
      </c>
      <c r="E99" s="4" t="s">
        <v>49</v>
      </c>
      <c r="F99" s="4" t="s">
        <v>25</v>
      </c>
      <c r="G99" s="4" t="s">
        <v>25</v>
      </c>
      <c r="H99" s="4" t="s">
        <v>37</v>
      </c>
      <c r="I99" s="5">
        <v>44531</v>
      </c>
      <c r="J99" s="6">
        <v>0</v>
      </c>
      <c r="K99" s="6">
        <v>0</v>
      </c>
      <c r="L99" s="6">
        <v>5.7910000000000004</v>
      </c>
      <c r="M99" s="6">
        <v>5.4435399999999996</v>
      </c>
      <c r="N99" s="6">
        <v>5.7910000000000004</v>
      </c>
      <c r="O99" s="6">
        <v>5.4435399999999996</v>
      </c>
      <c r="P99" s="6">
        <v>0</v>
      </c>
      <c r="Q99" s="4" t="s">
        <v>26</v>
      </c>
      <c r="R99" s="4">
        <v>0</v>
      </c>
      <c r="S99" s="4" t="s">
        <v>120</v>
      </c>
      <c r="T99" s="4" t="s">
        <v>281</v>
      </c>
      <c r="U99" s="4">
        <v>0</v>
      </c>
      <c r="V99" s="4">
        <v>32</v>
      </c>
      <c r="W99" s="4">
        <v>34</v>
      </c>
    </row>
    <row r="100" spans="1:23" ht="11.25" customHeight="1" x14ac:dyDescent="0.3">
      <c r="A100" s="4" t="s">
        <v>21</v>
      </c>
      <c r="B100" s="4" t="s">
        <v>35</v>
      </c>
      <c r="C100" s="4" t="s">
        <v>36</v>
      </c>
      <c r="D100" s="4" t="s">
        <v>48</v>
      </c>
      <c r="E100" s="4" t="s">
        <v>49</v>
      </c>
      <c r="F100" s="4" t="s">
        <v>25</v>
      </c>
      <c r="G100" s="4" t="s">
        <v>25</v>
      </c>
      <c r="H100" s="4" t="s">
        <v>37</v>
      </c>
      <c r="I100" s="5">
        <v>44562</v>
      </c>
      <c r="J100" s="6">
        <v>0</v>
      </c>
      <c r="K100" s="6">
        <v>0</v>
      </c>
      <c r="L100" s="6">
        <v>5.6879999999999997</v>
      </c>
      <c r="M100" s="6">
        <v>5.3467200000000004</v>
      </c>
      <c r="N100" s="6">
        <v>5.6879999999999997</v>
      </c>
      <c r="O100" s="6">
        <v>5.3467200000000004</v>
      </c>
      <c r="P100" s="6">
        <v>0</v>
      </c>
      <c r="Q100" s="4" t="s">
        <v>26</v>
      </c>
      <c r="R100" s="4">
        <v>0</v>
      </c>
      <c r="S100" s="4" t="s">
        <v>121</v>
      </c>
      <c r="T100" s="4" t="s">
        <v>282</v>
      </c>
      <c r="U100" s="4">
        <v>0</v>
      </c>
      <c r="V100" s="4">
        <v>32</v>
      </c>
      <c r="W100" s="4">
        <v>34</v>
      </c>
    </row>
    <row r="101" spans="1:23" ht="11.25" customHeight="1" x14ac:dyDescent="0.3">
      <c r="A101" s="4" t="s">
        <v>21</v>
      </c>
      <c r="B101" s="4" t="s">
        <v>35</v>
      </c>
      <c r="C101" s="4" t="s">
        <v>36</v>
      </c>
      <c r="D101" s="4" t="s">
        <v>48</v>
      </c>
      <c r="E101" s="4" t="s">
        <v>49</v>
      </c>
      <c r="F101" s="4" t="s">
        <v>25</v>
      </c>
      <c r="G101" s="4" t="s">
        <v>25</v>
      </c>
      <c r="H101" s="4" t="s">
        <v>37</v>
      </c>
      <c r="I101" s="5">
        <v>44593</v>
      </c>
      <c r="J101" s="6">
        <v>0</v>
      </c>
      <c r="K101" s="6">
        <v>0</v>
      </c>
      <c r="L101" s="6">
        <v>3.3929999999999998</v>
      </c>
      <c r="M101" s="6">
        <v>3.1894200000000001</v>
      </c>
      <c r="N101" s="6">
        <v>3.3929999999999998</v>
      </c>
      <c r="O101" s="6">
        <v>3.1894200000000001</v>
      </c>
      <c r="P101" s="6">
        <v>0</v>
      </c>
      <c r="Q101" s="4" t="s">
        <v>26</v>
      </c>
      <c r="R101" s="4">
        <v>0</v>
      </c>
      <c r="S101" s="4" t="s">
        <v>122</v>
      </c>
      <c r="T101" s="4" t="s">
        <v>283</v>
      </c>
      <c r="U101" s="4">
        <v>0</v>
      </c>
      <c r="V101" s="4">
        <v>32</v>
      </c>
      <c r="W101" s="4">
        <v>34</v>
      </c>
    </row>
    <row r="102" spans="1:23" ht="11.25" customHeight="1" x14ac:dyDescent="0.3">
      <c r="A102" s="4" t="s">
        <v>21</v>
      </c>
      <c r="B102" s="4" t="s">
        <v>35</v>
      </c>
      <c r="C102" s="4" t="s">
        <v>36</v>
      </c>
      <c r="D102" s="4" t="s">
        <v>48</v>
      </c>
      <c r="E102" s="4" t="s">
        <v>49</v>
      </c>
      <c r="F102" s="4" t="s">
        <v>25</v>
      </c>
      <c r="G102" s="4" t="s">
        <v>25</v>
      </c>
      <c r="H102" s="4" t="s">
        <v>37</v>
      </c>
      <c r="I102" s="5">
        <v>44621</v>
      </c>
      <c r="J102" s="6">
        <v>0</v>
      </c>
      <c r="K102" s="6">
        <v>0</v>
      </c>
      <c r="L102" s="6">
        <v>3.51</v>
      </c>
      <c r="M102" s="6">
        <v>3.2993999999999999</v>
      </c>
      <c r="N102" s="6">
        <v>3.51</v>
      </c>
      <c r="O102" s="6">
        <v>3.2993999999999999</v>
      </c>
      <c r="P102" s="6">
        <v>0</v>
      </c>
      <c r="Q102" s="4" t="s">
        <v>26</v>
      </c>
      <c r="R102" s="4">
        <v>0</v>
      </c>
      <c r="S102" s="4" t="s">
        <v>123</v>
      </c>
      <c r="T102" s="4" t="s">
        <v>284</v>
      </c>
      <c r="U102" s="4">
        <v>0</v>
      </c>
      <c r="V102" s="4">
        <v>32</v>
      </c>
      <c r="W102" s="4">
        <v>34</v>
      </c>
    </row>
    <row r="103" spans="1:23" ht="11.25" customHeight="1" x14ac:dyDescent="0.3">
      <c r="A103" s="4" t="s">
        <v>21</v>
      </c>
      <c r="B103" s="4" t="s">
        <v>35</v>
      </c>
      <c r="C103" s="4" t="s">
        <v>36</v>
      </c>
      <c r="D103" s="4" t="s">
        <v>48</v>
      </c>
      <c r="E103" s="4" t="s">
        <v>49</v>
      </c>
      <c r="F103" s="4" t="s">
        <v>25</v>
      </c>
      <c r="G103" s="4" t="s">
        <v>25</v>
      </c>
      <c r="H103" s="4" t="s">
        <v>37</v>
      </c>
      <c r="I103" s="5">
        <v>44652</v>
      </c>
      <c r="J103" s="6">
        <v>0</v>
      </c>
      <c r="K103" s="6">
        <v>0</v>
      </c>
      <c r="L103" s="6">
        <v>3.347</v>
      </c>
      <c r="M103" s="6">
        <v>3.1461800000000002</v>
      </c>
      <c r="N103" s="6">
        <v>3.347</v>
      </c>
      <c r="O103" s="6">
        <v>3.1461800000000002</v>
      </c>
      <c r="P103" s="6">
        <v>0</v>
      </c>
      <c r="Q103" s="4" t="s">
        <v>26</v>
      </c>
      <c r="R103" s="4">
        <v>0</v>
      </c>
      <c r="S103" s="4" t="s">
        <v>124</v>
      </c>
      <c r="T103" s="4" t="s">
        <v>285</v>
      </c>
      <c r="U103" s="4">
        <v>0</v>
      </c>
      <c r="V103" s="4">
        <v>32</v>
      </c>
      <c r="W103" s="4">
        <v>34</v>
      </c>
    </row>
    <row r="104" spans="1:23" ht="11.25" customHeight="1" x14ac:dyDescent="0.3">
      <c r="A104" s="4" t="s">
        <v>21</v>
      </c>
      <c r="B104" s="4" t="s">
        <v>35</v>
      </c>
      <c r="C104" s="4" t="s">
        <v>36</v>
      </c>
      <c r="D104" s="4" t="s">
        <v>48</v>
      </c>
      <c r="E104" s="4" t="s">
        <v>49</v>
      </c>
      <c r="F104" s="4" t="s">
        <v>25</v>
      </c>
      <c r="G104" s="4" t="s">
        <v>25</v>
      </c>
      <c r="H104" s="4" t="s">
        <v>37</v>
      </c>
      <c r="I104" s="5">
        <v>44682</v>
      </c>
      <c r="J104" s="6">
        <v>0</v>
      </c>
      <c r="K104" s="6">
        <v>0</v>
      </c>
      <c r="L104" s="6">
        <v>4.077</v>
      </c>
      <c r="M104" s="6">
        <v>3.8323800000000001</v>
      </c>
      <c r="N104" s="6">
        <v>4.077</v>
      </c>
      <c r="O104" s="6">
        <v>3.8323800000000001</v>
      </c>
      <c r="P104" s="6">
        <v>0</v>
      </c>
      <c r="Q104" s="4" t="s">
        <v>26</v>
      </c>
      <c r="R104" s="4">
        <v>0</v>
      </c>
      <c r="S104" s="4" t="s">
        <v>125</v>
      </c>
      <c r="T104" s="4" t="s">
        <v>286</v>
      </c>
      <c r="U104" s="4">
        <v>0</v>
      </c>
      <c r="V104" s="4">
        <v>32</v>
      </c>
      <c r="W104" s="4">
        <v>34</v>
      </c>
    </row>
    <row r="105" spans="1:23" ht="11.25" customHeight="1" x14ac:dyDescent="0.3">
      <c r="A105" s="4" t="s">
        <v>21</v>
      </c>
      <c r="B105" s="4" t="s">
        <v>35</v>
      </c>
      <c r="C105" s="4" t="s">
        <v>36</v>
      </c>
      <c r="D105" s="4" t="s">
        <v>48</v>
      </c>
      <c r="E105" s="4" t="s">
        <v>49</v>
      </c>
      <c r="F105" s="4" t="s">
        <v>25</v>
      </c>
      <c r="G105" s="4" t="s">
        <v>25</v>
      </c>
      <c r="H105" s="4" t="s">
        <v>37</v>
      </c>
      <c r="I105" s="5">
        <v>44713</v>
      </c>
      <c r="J105" s="6">
        <v>0</v>
      </c>
      <c r="K105" s="6">
        <v>0</v>
      </c>
      <c r="L105" s="6">
        <v>3.8940000000000001</v>
      </c>
      <c r="M105" s="6">
        <v>3.6603599999999998</v>
      </c>
      <c r="N105" s="6">
        <v>3.8940000000000001</v>
      </c>
      <c r="O105" s="6">
        <v>3.6603599999999998</v>
      </c>
      <c r="P105" s="6">
        <v>0</v>
      </c>
      <c r="Q105" s="4" t="s">
        <v>26</v>
      </c>
      <c r="R105" s="4">
        <v>0</v>
      </c>
      <c r="S105" s="4" t="s">
        <v>126</v>
      </c>
      <c r="T105" s="4" t="s">
        <v>287</v>
      </c>
      <c r="U105" s="4">
        <v>0</v>
      </c>
      <c r="V105" s="4">
        <v>32</v>
      </c>
      <c r="W105" s="4">
        <v>34</v>
      </c>
    </row>
    <row r="106" spans="1:23" ht="11.25" customHeight="1" x14ac:dyDescent="0.3">
      <c r="A106" s="4" t="s">
        <v>21</v>
      </c>
      <c r="B106" s="4" t="s">
        <v>35</v>
      </c>
      <c r="C106" s="4" t="s">
        <v>36</v>
      </c>
      <c r="D106" s="4" t="s">
        <v>48</v>
      </c>
      <c r="E106" s="4" t="s">
        <v>49</v>
      </c>
      <c r="F106" s="4" t="s">
        <v>25</v>
      </c>
      <c r="G106" s="4" t="s">
        <v>25</v>
      </c>
      <c r="H106" s="4" t="s">
        <v>37</v>
      </c>
      <c r="I106" s="5">
        <v>44743</v>
      </c>
      <c r="J106" s="6">
        <v>0</v>
      </c>
      <c r="K106" s="6">
        <v>0</v>
      </c>
      <c r="L106" s="6">
        <v>4.5410000000000004</v>
      </c>
      <c r="M106" s="6">
        <v>4.2685399999999998</v>
      </c>
      <c r="N106" s="6">
        <v>4.5410000000000004</v>
      </c>
      <c r="O106" s="6">
        <v>4.2685399999999998</v>
      </c>
      <c r="P106" s="6">
        <v>0</v>
      </c>
      <c r="Q106" s="4" t="s">
        <v>26</v>
      </c>
      <c r="R106" s="4">
        <v>0</v>
      </c>
      <c r="S106" s="4" t="s">
        <v>127</v>
      </c>
      <c r="T106" s="4" t="s">
        <v>288</v>
      </c>
      <c r="U106" s="4">
        <v>0</v>
      </c>
      <c r="V106" s="4">
        <v>32</v>
      </c>
      <c r="W106" s="4">
        <v>34</v>
      </c>
    </row>
    <row r="107" spans="1:23" ht="11.25" customHeight="1" x14ac:dyDescent="0.3">
      <c r="A107" s="4" t="s">
        <v>52</v>
      </c>
      <c r="B107" s="4" t="s">
        <v>35</v>
      </c>
      <c r="C107" s="4" t="s">
        <v>36</v>
      </c>
      <c r="D107" s="4" t="s">
        <v>48</v>
      </c>
      <c r="E107" s="4" t="s">
        <v>49</v>
      </c>
      <c r="F107" s="4" t="s">
        <v>25</v>
      </c>
      <c r="G107" s="4" t="s">
        <v>25</v>
      </c>
      <c r="H107" s="4" t="s">
        <v>37</v>
      </c>
      <c r="I107" s="5">
        <v>44774</v>
      </c>
      <c r="J107" s="6">
        <v>0</v>
      </c>
      <c r="K107" s="6">
        <v>0</v>
      </c>
      <c r="L107" s="6">
        <v>4.5410000000000004</v>
      </c>
      <c r="M107" s="6">
        <v>4.2685399999999998</v>
      </c>
      <c r="N107" s="6">
        <v>4.5410000000000004</v>
      </c>
      <c r="O107" s="6">
        <v>4.2685399999999998</v>
      </c>
      <c r="P107" s="6">
        <v>0</v>
      </c>
      <c r="Q107" s="4" t="s">
        <v>26</v>
      </c>
      <c r="R107" s="4">
        <v>0</v>
      </c>
      <c r="S107" s="4" t="s">
        <v>128</v>
      </c>
      <c r="T107" s="4" t="s">
        <v>289</v>
      </c>
      <c r="U107" s="4">
        <v>0</v>
      </c>
      <c r="V107" s="4">
        <v>32</v>
      </c>
      <c r="W107" s="4">
        <v>34</v>
      </c>
    </row>
    <row r="108" spans="1:23" ht="11.25" customHeight="1" x14ac:dyDescent="0.3">
      <c r="A108" s="4" t="s">
        <v>21</v>
      </c>
      <c r="B108" s="4" t="s">
        <v>22</v>
      </c>
      <c r="C108" s="4" t="s">
        <v>23</v>
      </c>
      <c r="D108" s="4" t="s">
        <v>24</v>
      </c>
      <c r="E108" s="4" t="s">
        <v>24</v>
      </c>
      <c r="F108" s="4" t="s">
        <v>25</v>
      </c>
      <c r="G108" s="4" t="s">
        <v>25</v>
      </c>
      <c r="H108" s="4" t="s">
        <v>25</v>
      </c>
      <c r="I108" s="5">
        <v>44440</v>
      </c>
      <c r="J108" s="6">
        <v>0</v>
      </c>
      <c r="K108" s="6">
        <v>0</v>
      </c>
      <c r="L108" s="6">
        <v>480.62900000000002</v>
      </c>
      <c r="M108" s="6">
        <v>480.62900000000002</v>
      </c>
      <c r="N108" s="6">
        <v>480.62900000000002</v>
      </c>
      <c r="O108" s="6">
        <v>480.62900000000002</v>
      </c>
      <c r="P108" s="6">
        <v>3107</v>
      </c>
      <c r="Q108" s="4" t="s">
        <v>26</v>
      </c>
      <c r="R108" s="4">
        <v>0</v>
      </c>
      <c r="S108" s="4" t="s">
        <v>129</v>
      </c>
      <c r="T108" s="4" t="s">
        <v>290</v>
      </c>
      <c r="U108" s="4">
        <v>0</v>
      </c>
      <c r="V108" s="4">
        <v>15</v>
      </c>
      <c r="W108" s="4">
        <v>43</v>
      </c>
    </row>
    <row r="109" spans="1:23" ht="11.25" customHeight="1" x14ac:dyDescent="0.3">
      <c r="A109" s="4" t="s">
        <v>27</v>
      </c>
      <c r="B109" s="4" t="s">
        <v>22</v>
      </c>
      <c r="C109" s="4" t="s">
        <v>23</v>
      </c>
      <c r="D109" s="4" t="s">
        <v>24</v>
      </c>
      <c r="E109" s="4" t="s">
        <v>24</v>
      </c>
      <c r="F109" s="4" t="s">
        <v>25</v>
      </c>
      <c r="G109" s="4" t="s">
        <v>25</v>
      </c>
      <c r="H109" s="4" t="s">
        <v>25</v>
      </c>
      <c r="I109" s="5">
        <v>44440</v>
      </c>
      <c r="J109" s="6">
        <v>0</v>
      </c>
      <c r="K109" s="6">
        <v>0</v>
      </c>
      <c r="L109" s="6">
        <v>-1.069</v>
      </c>
      <c r="M109" s="6">
        <v>-1.069</v>
      </c>
      <c r="N109" s="6">
        <v>-1.069</v>
      </c>
      <c r="O109" s="6">
        <v>-1.069</v>
      </c>
      <c r="P109" s="6">
        <v>0</v>
      </c>
      <c r="Q109" s="4" t="s">
        <v>26</v>
      </c>
      <c r="R109" s="4">
        <v>0</v>
      </c>
      <c r="S109" s="4" t="s">
        <v>129</v>
      </c>
      <c r="T109" s="4" t="s">
        <v>290</v>
      </c>
      <c r="U109" s="4">
        <v>0</v>
      </c>
      <c r="V109" s="4">
        <v>15</v>
      </c>
      <c r="W109" s="4">
        <v>43</v>
      </c>
    </row>
    <row r="110" spans="1:23" ht="11.25" customHeight="1" x14ac:dyDescent="0.3">
      <c r="A110" s="4" t="s">
        <v>28</v>
      </c>
      <c r="B110" s="4" t="s">
        <v>22</v>
      </c>
      <c r="C110" s="4" t="s">
        <v>23</v>
      </c>
      <c r="D110" s="4" t="s">
        <v>24</v>
      </c>
      <c r="E110" s="4" t="s">
        <v>24</v>
      </c>
      <c r="F110" s="4" t="s">
        <v>25</v>
      </c>
      <c r="G110" s="4" t="s">
        <v>25</v>
      </c>
      <c r="H110" s="4" t="s">
        <v>25</v>
      </c>
      <c r="I110" s="5">
        <v>44440</v>
      </c>
      <c r="J110" s="6">
        <v>0</v>
      </c>
      <c r="K110" s="6">
        <v>0</v>
      </c>
      <c r="L110" s="6">
        <v>7.1079999999999997</v>
      </c>
      <c r="M110" s="6">
        <v>7.1079999999999997</v>
      </c>
      <c r="N110" s="6">
        <v>7.1079999999999997</v>
      </c>
      <c r="O110" s="6">
        <v>7.1079999999999997</v>
      </c>
      <c r="P110" s="6">
        <v>19</v>
      </c>
      <c r="Q110" s="4" t="s">
        <v>26</v>
      </c>
      <c r="R110" s="4">
        <v>0</v>
      </c>
      <c r="S110" s="4" t="s">
        <v>129</v>
      </c>
      <c r="T110" s="4" t="s">
        <v>290</v>
      </c>
      <c r="U110" s="4">
        <v>0</v>
      </c>
      <c r="V110" s="4">
        <v>15</v>
      </c>
      <c r="W110" s="4">
        <v>43</v>
      </c>
    </row>
    <row r="111" spans="1:23" ht="11.25" customHeight="1" x14ac:dyDescent="0.3">
      <c r="A111" s="4" t="s">
        <v>21</v>
      </c>
      <c r="B111" s="4" t="s">
        <v>22</v>
      </c>
      <c r="C111" s="4" t="s">
        <v>23</v>
      </c>
      <c r="D111" s="4" t="s">
        <v>24</v>
      </c>
      <c r="E111" s="4" t="s">
        <v>24</v>
      </c>
      <c r="F111" s="4" t="s">
        <v>25</v>
      </c>
      <c r="G111" s="4" t="s">
        <v>25</v>
      </c>
      <c r="H111" s="4" t="s">
        <v>25</v>
      </c>
      <c r="I111" s="5">
        <v>44470</v>
      </c>
      <c r="J111" s="6">
        <v>0</v>
      </c>
      <c r="K111" s="6">
        <v>0</v>
      </c>
      <c r="L111" s="6">
        <v>529.947</v>
      </c>
      <c r="M111" s="6">
        <v>529.947</v>
      </c>
      <c r="N111" s="6">
        <v>529.947</v>
      </c>
      <c r="O111" s="6">
        <v>529.947</v>
      </c>
      <c r="P111" s="6">
        <v>3112</v>
      </c>
      <c r="Q111" s="4" t="s">
        <v>26</v>
      </c>
      <c r="R111" s="4">
        <v>0</v>
      </c>
      <c r="S111" s="4" t="s">
        <v>130</v>
      </c>
      <c r="T111" s="4" t="s">
        <v>291</v>
      </c>
      <c r="U111" s="4">
        <v>0</v>
      </c>
      <c r="V111" s="4">
        <v>15</v>
      </c>
      <c r="W111" s="4">
        <v>43</v>
      </c>
    </row>
    <row r="112" spans="1:23" ht="11.25" customHeight="1" x14ac:dyDescent="0.3">
      <c r="A112" s="4" t="s">
        <v>27</v>
      </c>
      <c r="B112" s="4" t="s">
        <v>22</v>
      </c>
      <c r="C112" s="4" t="s">
        <v>23</v>
      </c>
      <c r="D112" s="4" t="s">
        <v>24</v>
      </c>
      <c r="E112" s="4" t="s">
        <v>24</v>
      </c>
      <c r="F112" s="4" t="s">
        <v>25</v>
      </c>
      <c r="G112" s="4" t="s">
        <v>25</v>
      </c>
      <c r="H112" s="4" t="s">
        <v>25</v>
      </c>
      <c r="I112" s="5">
        <v>44470</v>
      </c>
      <c r="J112" s="6">
        <v>0</v>
      </c>
      <c r="K112" s="6">
        <v>0</v>
      </c>
      <c r="L112" s="6">
        <v>-7.6999999999999999E-2</v>
      </c>
      <c r="M112" s="6">
        <v>-7.6999999999999999E-2</v>
      </c>
      <c r="N112" s="6">
        <v>-7.6999999999999999E-2</v>
      </c>
      <c r="O112" s="6">
        <v>-7.6999999999999999E-2</v>
      </c>
      <c r="P112" s="6">
        <v>0</v>
      </c>
      <c r="Q112" s="4" t="s">
        <v>26</v>
      </c>
      <c r="R112" s="4">
        <v>0</v>
      </c>
      <c r="S112" s="4" t="s">
        <v>130</v>
      </c>
      <c r="T112" s="4" t="s">
        <v>291</v>
      </c>
      <c r="U112" s="4">
        <v>0</v>
      </c>
      <c r="V112" s="4">
        <v>15</v>
      </c>
      <c r="W112" s="4">
        <v>43</v>
      </c>
    </row>
    <row r="113" spans="1:23" ht="11.25" customHeight="1" x14ac:dyDescent="0.3">
      <c r="A113" s="4" t="s">
        <v>28</v>
      </c>
      <c r="B113" s="4" t="s">
        <v>22</v>
      </c>
      <c r="C113" s="4" t="s">
        <v>23</v>
      </c>
      <c r="D113" s="4" t="s">
        <v>24</v>
      </c>
      <c r="E113" s="4" t="s">
        <v>24</v>
      </c>
      <c r="F113" s="4" t="s">
        <v>25</v>
      </c>
      <c r="G113" s="4" t="s">
        <v>25</v>
      </c>
      <c r="H113" s="4" t="s">
        <v>25</v>
      </c>
      <c r="I113" s="5">
        <v>44470</v>
      </c>
      <c r="J113" s="6">
        <v>0</v>
      </c>
      <c r="K113" s="6">
        <v>0</v>
      </c>
      <c r="L113" s="6">
        <v>4.8079999999999998</v>
      </c>
      <c r="M113" s="6">
        <v>4.8079999999999998</v>
      </c>
      <c r="N113" s="6">
        <v>4.8079999999999998</v>
      </c>
      <c r="O113" s="6">
        <v>4.8079999999999998</v>
      </c>
      <c r="P113" s="6">
        <v>21</v>
      </c>
      <c r="Q113" s="4" t="s">
        <v>26</v>
      </c>
      <c r="R113" s="4">
        <v>0</v>
      </c>
      <c r="S113" s="4" t="s">
        <v>130</v>
      </c>
      <c r="T113" s="4" t="s">
        <v>291</v>
      </c>
      <c r="U113" s="4">
        <v>0</v>
      </c>
      <c r="V113" s="4">
        <v>15</v>
      </c>
      <c r="W113" s="4">
        <v>43</v>
      </c>
    </row>
    <row r="114" spans="1:23" ht="11.25" customHeight="1" x14ac:dyDescent="0.3">
      <c r="A114" s="4" t="s">
        <v>21</v>
      </c>
      <c r="B114" s="4" t="s">
        <v>22</v>
      </c>
      <c r="C114" s="4" t="s">
        <v>23</v>
      </c>
      <c r="D114" s="4" t="s">
        <v>24</v>
      </c>
      <c r="E114" s="4" t="s">
        <v>24</v>
      </c>
      <c r="F114" s="4" t="s">
        <v>25</v>
      </c>
      <c r="G114" s="4" t="s">
        <v>25</v>
      </c>
      <c r="H114" s="4" t="s">
        <v>25</v>
      </c>
      <c r="I114" s="5">
        <v>44501</v>
      </c>
      <c r="J114" s="6">
        <v>0</v>
      </c>
      <c r="K114" s="6">
        <v>0</v>
      </c>
      <c r="L114" s="6">
        <v>518.81799999999998</v>
      </c>
      <c r="M114" s="6">
        <v>518.81799999999998</v>
      </c>
      <c r="N114" s="6">
        <v>518.81799999999998</v>
      </c>
      <c r="O114" s="6">
        <v>518.81799999999998</v>
      </c>
      <c r="P114" s="6">
        <v>3127</v>
      </c>
      <c r="Q114" s="4" t="s">
        <v>26</v>
      </c>
      <c r="R114" s="4">
        <v>0</v>
      </c>
      <c r="S114" s="4" t="s">
        <v>131</v>
      </c>
      <c r="T114" s="4" t="s">
        <v>292</v>
      </c>
      <c r="U114" s="4">
        <v>0</v>
      </c>
      <c r="V114" s="4">
        <v>15</v>
      </c>
      <c r="W114" s="4">
        <v>43</v>
      </c>
    </row>
    <row r="115" spans="1:23" ht="11.25" customHeight="1" x14ac:dyDescent="0.3">
      <c r="A115" s="4" t="s">
        <v>27</v>
      </c>
      <c r="B115" s="4" t="s">
        <v>22</v>
      </c>
      <c r="C115" s="4" t="s">
        <v>23</v>
      </c>
      <c r="D115" s="4" t="s">
        <v>24</v>
      </c>
      <c r="E115" s="4" t="s">
        <v>24</v>
      </c>
      <c r="F115" s="4" t="s">
        <v>25</v>
      </c>
      <c r="G115" s="4" t="s">
        <v>25</v>
      </c>
      <c r="H115" s="4" t="s">
        <v>25</v>
      </c>
      <c r="I115" s="5">
        <v>44501</v>
      </c>
      <c r="J115" s="6">
        <v>0</v>
      </c>
      <c r="K115" s="6">
        <v>0</v>
      </c>
      <c r="L115" s="6">
        <v>-10.615</v>
      </c>
      <c r="M115" s="6">
        <v>-10.615</v>
      </c>
      <c r="N115" s="6">
        <v>-10.615</v>
      </c>
      <c r="O115" s="6">
        <v>-10.615</v>
      </c>
      <c r="P115" s="6">
        <v>0</v>
      </c>
      <c r="Q115" s="4" t="s">
        <v>26</v>
      </c>
      <c r="R115" s="4">
        <v>0</v>
      </c>
      <c r="S115" s="4" t="s">
        <v>131</v>
      </c>
      <c r="T115" s="4" t="s">
        <v>292</v>
      </c>
      <c r="U115" s="4">
        <v>0</v>
      </c>
      <c r="V115" s="4">
        <v>15</v>
      </c>
      <c r="W115" s="4">
        <v>43</v>
      </c>
    </row>
    <row r="116" spans="1:23" ht="11.25" customHeight="1" x14ac:dyDescent="0.3">
      <c r="A116" s="4" t="s">
        <v>21</v>
      </c>
      <c r="B116" s="4" t="s">
        <v>22</v>
      </c>
      <c r="C116" s="4" t="s">
        <v>23</v>
      </c>
      <c r="D116" s="4" t="s">
        <v>24</v>
      </c>
      <c r="E116" s="4" t="s">
        <v>24</v>
      </c>
      <c r="F116" s="4" t="s">
        <v>25</v>
      </c>
      <c r="G116" s="4" t="s">
        <v>25</v>
      </c>
      <c r="H116" s="4" t="s">
        <v>25</v>
      </c>
      <c r="I116" s="5">
        <v>44531</v>
      </c>
      <c r="J116" s="6">
        <v>0</v>
      </c>
      <c r="K116" s="6">
        <v>0</v>
      </c>
      <c r="L116" s="6">
        <v>532.57899999999995</v>
      </c>
      <c r="M116" s="6">
        <v>532.57899999999995</v>
      </c>
      <c r="N116" s="6">
        <v>532.57899999999995</v>
      </c>
      <c r="O116" s="6">
        <v>532.57899999999995</v>
      </c>
      <c r="P116" s="6">
        <v>3118</v>
      </c>
      <c r="Q116" s="4" t="s">
        <v>26</v>
      </c>
      <c r="R116" s="4">
        <v>0</v>
      </c>
      <c r="S116" s="4" t="s">
        <v>132</v>
      </c>
      <c r="T116" s="4" t="s">
        <v>293</v>
      </c>
      <c r="U116" s="4">
        <v>0</v>
      </c>
      <c r="V116" s="4">
        <v>15</v>
      </c>
      <c r="W116" s="4">
        <v>43</v>
      </c>
    </row>
    <row r="117" spans="1:23" ht="11.25" customHeight="1" x14ac:dyDescent="0.3">
      <c r="A117" s="4" t="s">
        <v>27</v>
      </c>
      <c r="B117" s="4" t="s">
        <v>22</v>
      </c>
      <c r="C117" s="4" t="s">
        <v>23</v>
      </c>
      <c r="D117" s="4" t="s">
        <v>24</v>
      </c>
      <c r="E117" s="4" t="s">
        <v>24</v>
      </c>
      <c r="F117" s="4" t="s">
        <v>25</v>
      </c>
      <c r="G117" s="4" t="s">
        <v>25</v>
      </c>
      <c r="H117" s="4" t="s">
        <v>25</v>
      </c>
      <c r="I117" s="5">
        <v>44531</v>
      </c>
      <c r="J117" s="6">
        <v>0</v>
      </c>
      <c r="K117" s="6">
        <v>0</v>
      </c>
      <c r="L117" s="6">
        <v>-37.978000000000002</v>
      </c>
      <c r="M117" s="6">
        <v>-37.978000000000002</v>
      </c>
      <c r="N117" s="6">
        <v>-37.978000000000002</v>
      </c>
      <c r="O117" s="6">
        <v>-37.978000000000002</v>
      </c>
      <c r="P117" s="6">
        <v>0</v>
      </c>
      <c r="Q117" s="4" t="s">
        <v>26</v>
      </c>
      <c r="R117" s="4">
        <v>0</v>
      </c>
      <c r="S117" s="4" t="s">
        <v>132</v>
      </c>
      <c r="T117" s="4" t="s">
        <v>293</v>
      </c>
      <c r="U117" s="4">
        <v>0</v>
      </c>
      <c r="V117" s="4">
        <v>15</v>
      </c>
      <c r="W117" s="4">
        <v>43</v>
      </c>
    </row>
    <row r="118" spans="1:23" ht="11.25" customHeight="1" x14ac:dyDescent="0.3">
      <c r="A118" s="4" t="s">
        <v>28</v>
      </c>
      <c r="B118" s="4" t="s">
        <v>22</v>
      </c>
      <c r="C118" s="4" t="s">
        <v>23</v>
      </c>
      <c r="D118" s="4" t="s">
        <v>24</v>
      </c>
      <c r="E118" s="4" t="s">
        <v>24</v>
      </c>
      <c r="F118" s="4" t="s">
        <v>25</v>
      </c>
      <c r="G118" s="4" t="s">
        <v>25</v>
      </c>
      <c r="H118" s="4" t="s">
        <v>25</v>
      </c>
      <c r="I118" s="5">
        <v>44531</v>
      </c>
      <c r="J118" s="6">
        <v>0</v>
      </c>
      <c r="K118" s="6">
        <v>0</v>
      </c>
      <c r="L118" s="6">
        <v>6.3559999999999999</v>
      </c>
      <c r="M118" s="6">
        <v>6.3559999999999999</v>
      </c>
      <c r="N118" s="6">
        <v>6.3559999999999999</v>
      </c>
      <c r="O118" s="6">
        <v>6.3559999999999999</v>
      </c>
      <c r="P118" s="6">
        <v>31</v>
      </c>
      <c r="Q118" s="4" t="s">
        <v>26</v>
      </c>
      <c r="R118" s="4">
        <v>0</v>
      </c>
      <c r="S118" s="4" t="s">
        <v>132</v>
      </c>
      <c r="T118" s="4" t="s">
        <v>293</v>
      </c>
      <c r="U118" s="4">
        <v>0</v>
      </c>
      <c r="V118" s="4">
        <v>15</v>
      </c>
      <c r="W118" s="4">
        <v>43</v>
      </c>
    </row>
    <row r="119" spans="1:23" ht="11.25" customHeight="1" x14ac:dyDescent="0.3">
      <c r="A119" s="4" t="s">
        <v>21</v>
      </c>
      <c r="B119" s="4" t="s">
        <v>22</v>
      </c>
      <c r="C119" s="4" t="s">
        <v>23</v>
      </c>
      <c r="D119" s="4" t="s">
        <v>24</v>
      </c>
      <c r="E119" s="4" t="s">
        <v>24</v>
      </c>
      <c r="F119" s="4" t="s">
        <v>25</v>
      </c>
      <c r="G119" s="4" t="s">
        <v>25</v>
      </c>
      <c r="H119" s="4" t="s">
        <v>25</v>
      </c>
      <c r="I119" s="5">
        <v>44562</v>
      </c>
      <c r="J119" s="6">
        <v>0</v>
      </c>
      <c r="K119" s="6">
        <v>0</v>
      </c>
      <c r="L119" s="6">
        <v>575.85500000000002</v>
      </c>
      <c r="M119" s="6">
        <v>575.85500000000002</v>
      </c>
      <c r="N119" s="6">
        <v>575.85500000000002</v>
      </c>
      <c r="O119" s="6">
        <v>575.85500000000002</v>
      </c>
      <c r="P119" s="6">
        <v>3116</v>
      </c>
      <c r="Q119" s="4" t="s">
        <v>26</v>
      </c>
      <c r="R119" s="4">
        <v>0</v>
      </c>
      <c r="S119" s="4" t="s">
        <v>133</v>
      </c>
      <c r="T119" s="4" t="s">
        <v>294</v>
      </c>
      <c r="U119" s="4">
        <v>0</v>
      </c>
      <c r="V119" s="4">
        <v>15</v>
      </c>
      <c r="W119" s="4">
        <v>43</v>
      </c>
    </row>
    <row r="120" spans="1:23" ht="11.25" customHeight="1" x14ac:dyDescent="0.3">
      <c r="A120" s="4" t="s">
        <v>27</v>
      </c>
      <c r="B120" s="4" t="s">
        <v>22</v>
      </c>
      <c r="C120" s="4" t="s">
        <v>23</v>
      </c>
      <c r="D120" s="4" t="s">
        <v>24</v>
      </c>
      <c r="E120" s="4" t="s">
        <v>24</v>
      </c>
      <c r="F120" s="4" t="s">
        <v>25</v>
      </c>
      <c r="G120" s="4" t="s">
        <v>25</v>
      </c>
      <c r="H120" s="4" t="s">
        <v>25</v>
      </c>
      <c r="I120" s="5">
        <v>44562</v>
      </c>
      <c r="J120" s="6">
        <v>0</v>
      </c>
      <c r="K120" s="6">
        <v>0</v>
      </c>
      <c r="L120" s="6">
        <v>-8.907</v>
      </c>
      <c r="M120" s="6">
        <v>-8.907</v>
      </c>
      <c r="N120" s="6">
        <v>-8.907</v>
      </c>
      <c r="O120" s="6">
        <v>-8.907</v>
      </c>
      <c r="P120" s="6">
        <v>0</v>
      </c>
      <c r="Q120" s="4" t="s">
        <v>26</v>
      </c>
      <c r="R120" s="4">
        <v>0</v>
      </c>
      <c r="S120" s="4" t="s">
        <v>133</v>
      </c>
      <c r="T120" s="4" t="s">
        <v>294</v>
      </c>
      <c r="U120" s="4">
        <v>0</v>
      </c>
      <c r="V120" s="4">
        <v>15</v>
      </c>
      <c r="W120" s="4">
        <v>43</v>
      </c>
    </row>
    <row r="121" spans="1:23" ht="11.25" customHeight="1" x14ac:dyDescent="0.3">
      <c r="A121" s="4" t="s">
        <v>28</v>
      </c>
      <c r="B121" s="4" t="s">
        <v>22</v>
      </c>
      <c r="C121" s="4" t="s">
        <v>23</v>
      </c>
      <c r="D121" s="4" t="s">
        <v>24</v>
      </c>
      <c r="E121" s="4" t="s">
        <v>24</v>
      </c>
      <c r="F121" s="4" t="s">
        <v>25</v>
      </c>
      <c r="G121" s="4" t="s">
        <v>25</v>
      </c>
      <c r="H121" s="4" t="s">
        <v>25</v>
      </c>
      <c r="I121" s="5">
        <v>44562</v>
      </c>
      <c r="J121" s="6">
        <v>0</v>
      </c>
      <c r="K121" s="6">
        <v>0</v>
      </c>
      <c r="L121" s="6">
        <v>6.1020000000000003</v>
      </c>
      <c r="M121" s="6">
        <v>6.1020000000000003</v>
      </c>
      <c r="N121" s="6">
        <v>6.1020000000000003</v>
      </c>
      <c r="O121" s="6">
        <v>6.1020000000000003</v>
      </c>
      <c r="P121" s="6">
        <v>33</v>
      </c>
      <c r="Q121" s="4" t="s">
        <v>26</v>
      </c>
      <c r="R121" s="4">
        <v>0</v>
      </c>
      <c r="S121" s="4" t="s">
        <v>133</v>
      </c>
      <c r="T121" s="4" t="s">
        <v>294</v>
      </c>
      <c r="U121" s="4">
        <v>0</v>
      </c>
      <c r="V121" s="4">
        <v>15</v>
      </c>
      <c r="W121" s="4">
        <v>43</v>
      </c>
    </row>
    <row r="122" spans="1:23" ht="11.25" customHeight="1" x14ac:dyDescent="0.3">
      <c r="A122" s="4" t="s">
        <v>21</v>
      </c>
      <c r="B122" s="4" t="s">
        <v>22</v>
      </c>
      <c r="C122" s="4" t="s">
        <v>23</v>
      </c>
      <c r="D122" s="4" t="s">
        <v>24</v>
      </c>
      <c r="E122" s="4" t="s">
        <v>24</v>
      </c>
      <c r="F122" s="4" t="s">
        <v>25</v>
      </c>
      <c r="G122" s="4" t="s">
        <v>25</v>
      </c>
      <c r="H122" s="4" t="s">
        <v>25</v>
      </c>
      <c r="I122" s="5">
        <v>44593</v>
      </c>
      <c r="J122" s="6">
        <v>0</v>
      </c>
      <c r="K122" s="6">
        <v>0</v>
      </c>
      <c r="L122" s="6">
        <v>659.79499999999996</v>
      </c>
      <c r="M122" s="6">
        <v>659.79499999999996</v>
      </c>
      <c r="N122" s="6">
        <v>659.79499999999996</v>
      </c>
      <c r="O122" s="6">
        <v>659.79499999999996</v>
      </c>
      <c r="P122" s="6">
        <v>3107</v>
      </c>
      <c r="Q122" s="4" t="s">
        <v>26</v>
      </c>
      <c r="R122" s="4">
        <v>0</v>
      </c>
      <c r="S122" s="4" t="s">
        <v>134</v>
      </c>
      <c r="T122" s="4" t="s">
        <v>295</v>
      </c>
      <c r="U122" s="4">
        <v>0</v>
      </c>
      <c r="V122" s="4">
        <v>15</v>
      </c>
      <c r="W122" s="4">
        <v>43</v>
      </c>
    </row>
    <row r="123" spans="1:23" ht="11.25" customHeight="1" x14ac:dyDescent="0.3">
      <c r="A123" s="4" t="s">
        <v>27</v>
      </c>
      <c r="B123" s="4" t="s">
        <v>22</v>
      </c>
      <c r="C123" s="4" t="s">
        <v>23</v>
      </c>
      <c r="D123" s="4" t="s">
        <v>24</v>
      </c>
      <c r="E123" s="4" t="s">
        <v>24</v>
      </c>
      <c r="F123" s="4" t="s">
        <v>25</v>
      </c>
      <c r="G123" s="4" t="s">
        <v>25</v>
      </c>
      <c r="H123" s="4" t="s">
        <v>25</v>
      </c>
      <c r="I123" s="5">
        <v>44593</v>
      </c>
      <c r="J123" s="6">
        <v>0</v>
      </c>
      <c r="K123" s="6">
        <v>0</v>
      </c>
      <c r="L123" s="6">
        <v>-6.9000000000000006E-2</v>
      </c>
      <c r="M123" s="6">
        <v>-6.9000000000000006E-2</v>
      </c>
      <c r="N123" s="6">
        <v>-6.9000000000000006E-2</v>
      </c>
      <c r="O123" s="6">
        <v>-6.9000000000000006E-2</v>
      </c>
      <c r="P123" s="6">
        <v>0</v>
      </c>
      <c r="Q123" s="4" t="s">
        <v>26</v>
      </c>
      <c r="R123" s="4">
        <v>0</v>
      </c>
      <c r="S123" s="4" t="s">
        <v>134</v>
      </c>
      <c r="T123" s="4" t="s">
        <v>295</v>
      </c>
      <c r="U123" s="4">
        <v>0</v>
      </c>
      <c r="V123" s="4">
        <v>15</v>
      </c>
      <c r="W123" s="4">
        <v>43</v>
      </c>
    </row>
    <row r="124" spans="1:23" ht="11.25" customHeight="1" x14ac:dyDescent="0.3">
      <c r="A124" s="4" t="s">
        <v>28</v>
      </c>
      <c r="B124" s="4" t="s">
        <v>22</v>
      </c>
      <c r="C124" s="4" t="s">
        <v>23</v>
      </c>
      <c r="D124" s="4" t="s">
        <v>24</v>
      </c>
      <c r="E124" s="4" t="s">
        <v>24</v>
      </c>
      <c r="F124" s="4" t="s">
        <v>25</v>
      </c>
      <c r="G124" s="4" t="s">
        <v>25</v>
      </c>
      <c r="H124" s="4" t="s">
        <v>25</v>
      </c>
      <c r="I124" s="5">
        <v>44593</v>
      </c>
      <c r="J124" s="6">
        <v>0</v>
      </c>
      <c r="K124" s="6">
        <v>0</v>
      </c>
      <c r="L124" s="6">
        <v>8.2349999999999994</v>
      </c>
      <c r="M124" s="6">
        <v>8.2349999999999994</v>
      </c>
      <c r="N124" s="6">
        <v>8.2349999999999994</v>
      </c>
      <c r="O124" s="6">
        <v>8.2349999999999994</v>
      </c>
      <c r="P124" s="6">
        <v>38</v>
      </c>
      <c r="Q124" s="4" t="s">
        <v>26</v>
      </c>
      <c r="R124" s="4">
        <v>0</v>
      </c>
      <c r="S124" s="4" t="s">
        <v>134</v>
      </c>
      <c r="T124" s="4" t="s">
        <v>295</v>
      </c>
      <c r="U124" s="4">
        <v>0</v>
      </c>
      <c r="V124" s="4">
        <v>15</v>
      </c>
      <c r="W124" s="4">
        <v>43</v>
      </c>
    </row>
    <row r="125" spans="1:23" ht="11.25" customHeight="1" x14ac:dyDescent="0.3">
      <c r="A125" s="4" t="s">
        <v>21</v>
      </c>
      <c r="B125" s="4" t="s">
        <v>22</v>
      </c>
      <c r="C125" s="4" t="s">
        <v>23</v>
      </c>
      <c r="D125" s="4" t="s">
        <v>24</v>
      </c>
      <c r="E125" s="4" t="s">
        <v>24</v>
      </c>
      <c r="F125" s="4" t="s">
        <v>25</v>
      </c>
      <c r="G125" s="4" t="s">
        <v>25</v>
      </c>
      <c r="H125" s="4" t="s">
        <v>25</v>
      </c>
      <c r="I125" s="5">
        <v>44621</v>
      </c>
      <c r="J125" s="6">
        <v>0</v>
      </c>
      <c r="K125" s="6">
        <v>0</v>
      </c>
      <c r="L125" s="6">
        <v>772.06100000000004</v>
      </c>
      <c r="M125" s="6">
        <v>772.06100000000004</v>
      </c>
      <c r="N125" s="6">
        <v>772.06100000000004</v>
      </c>
      <c r="O125" s="6">
        <v>772.06100000000004</v>
      </c>
      <c r="P125" s="6">
        <v>3120</v>
      </c>
      <c r="Q125" s="4" t="s">
        <v>26</v>
      </c>
      <c r="R125" s="4">
        <v>0</v>
      </c>
      <c r="S125" s="4" t="s">
        <v>135</v>
      </c>
      <c r="T125" s="4" t="s">
        <v>296</v>
      </c>
      <c r="U125" s="4">
        <v>0</v>
      </c>
      <c r="V125" s="4">
        <v>15</v>
      </c>
      <c r="W125" s="4">
        <v>43</v>
      </c>
    </row>
    <row r="126" spans="1:23" ht="11.25" customHeight="1" x14ac:dyDescent="0.3">
      <c r="A126" s="4" t="s">
        <v>27</v>
      </c>
      <c r="B126" s="4" t="s">
        <v>22</v>
      </c>
      <c r="C126" s="4" t="s">
        <v>23</v>
      </c>
      <c r="D126" s="4" t="s">
        <v>24</v>
      </c>
      <c r="E126" s="4" t="s">
        <v>24</v>
      </c>
      <c r="F126" s="4" t="s">
        <v>25</v>
      </c>
      <c r="G126" s="4" t="s">
        <v>25</v>
      </c>
      <c r="H126" s="4" t="s">
        <v>25</v>
      </c>
      <c r="I126" s="5">
        <v>44621</v>
      </c>
      <c r="J126" s="6">
        <v>0</v>
      </c>
      <c r="K126" s="6">
        <v>0</v>
      </c>
      <c r="L126" s="6">
        <v>-190.22</v>
      </c>
      <c r="M126" s="6">
        <v>-190.22</v>
      </c>
      <c r="N126" s="6">
        <v>-190.22</v>
      </c>
      <c r="O126" s="6">
        <v>-190.22</v>
      </c>
      <c r="P126" s="6">
        <v>0</v>
      </c>
      <c r="Q126" s="4" t="s">
        <v>26</v>
      </c>
      <c r="R126" s="4">
        <v>0</v>
      </c>
      <c r="S126" s="4" t="s">
        <v>135</v>
      </c>
      <c r="T126" s="4" t="s">
        <v>296</v>
      </c>
      <c r="U126" s="4">
        <v>0</v>
      </c>
      <c r="V126" s="4">
        <v>15</v>
      </c>
      <c r="W126" s="4">
        <v>43</v>
      </c>
    </row>
    <row r="127" spans="1:23" ht="11.25" customHeight="1" x14ac:dyDescent="0.3">
      <c r="A127" s="4" t="s">
        <v>28</v>
      </c>
      <c r="B127" s="4" t="s">
        <v>22</v>
      </c>
      <c r="C127" s="4" t="s">
        <v>23</v>
      </c>
      <c r="D127" s="4" t="s">
        <v>24</v>
      </c>
      <c r="E127" s="4" t="s">
        <v>24</v>
      </c>
      <c r="F127" s="4" t="s">
        <v>25</v>
      </c>
      <c r="G127" s="4" t="s">
        <v>25</v>
      </c>
      <c r="H127" s="4" t="s">
        <v>25</v>
      </c>
      <c r="I127" s="5">
        <v>44621</v>
      </c>
      <c r="J127" s="6">
        <v>0</v>
      </c>
      <c r="K127" s="6">
        <v>0</v>
      </c>
      <c r="L127" s="6">
        <v>10.331</v>
      </c>
      <c r="M127" s="6">
        <v>10.331</v>
      </c>
      <c r="N127" s="6">
        <v>10.331</v>
      </c>
      <c r="O127" s="6">
        <v>10.331</v>
      </c>
      <c r="P127" s="6">
        <v>42</v>
      </c>
      <c r="Q127" s="4" t="s">
        <v>26</v>
      </c>
      <c r="R127" s="4">
        <v>0</v>
      </c>
      <c r="S127" s="4" t="s">
        <v>135</v>
      </c>
      <c r="T127" s="4" t="s">
        <v>296</v>
      </c>
      <c r="U127" s="4">
        <v>0</v>
      </c>
      <c r="V127" s="4">
        <v>15</v>
      </c>
      <c r="W127" s="4">
        <v>43</v>
      </c>
    </row>
    <row r="128" spans="1:23" ht="11.25" customHeight="1" x14ac:dyDescent="0.3">
      <c r="A128" s="4" t="s">
        <v>21</v>
      </c>
      <c r="B128" s="4" t="s">
        <v>22</v>
      </c>
      <c r="C128" s="4" t="s">
        <v>23</v>
      </c>
      <c r="D128" s="4" t="s">
        <v>24</v>
      </c>
      <c r="E128" s="4" t="s">
        <v>24</v>
      </c>
      <c r="F128" s="4" t="s">
        <v>25</v>
      </c>
      <c r="G128" s="4" t="s">
        <v>25</v>
      </c>
      <c r="H128" s="4" t="s">
        <v>25</v>
      </c>
      <c r="I128" s="5">
        <v>44652</v>
      </c>
      <c r="J128" s="6">
        <v>0</v>
      </c>
      <c r="K128" s="6">
        <v>0</v>
      </c>
      <c r="L128" s="6">
        <v>526.52200000000005</v>
      </c>
      <c r="M128" s="6">
        <v>526.52200000000005</v>
      </c>
      <c r="N128" s="6">
        <v>526.52200000000005</v>
      </c>
      <c r="O128" s="6">
        <v>526.52200000000005</v>
      </c>
      <c r="P128" s="6">
        <v>3111</v>
      </c>
      <c r="Q128" s="4" t="s">
        <v>26</v>
      </c>
      <c r="R128" s="4">
        <v>0</v>
      </c>
      <c r="S128" s="4" t="s">
        <v>136</v>
      </c>
      <c r="T128" s="4" t="s">
        <v>297</v>
      </c>
      <c r="U128" s="4">
        <v>0</v>
      </c>
      <c r="V128" s="4">
        <v>15</v>
      </c>
      <c r="W128" s="4">
        <v>43</v>
      </c>
    </row>
    <row r="129" spans="1:23" ht="11.25" customHeight="1" x14ac:dyDescent="0.3">
      <c r="A129" s="4" t="s">
        <v>27</v>
      </c>
      <c r="B129" s="4" t="s">
        <v>22</v>
      </c>
      <c r="C129" s="4" t="s">
        <v>23</v>
      </c>
      <c r="D129" s="4" t="s">
        <v>24</v>
      </c>
      <c r="E129" s="4" t="s">
        <v>24</v>
      </c>
      <c r="F129" s="4" t="s">
        <v>25</v>
      </c>
      <c r="G129" s="4" t="s">
        <v>25</v>
      </c>
      <c r="H129" s="4" t="s">
        <v>25</v>
      </c>
      <c r="I129" s="5">
        <v>44652</v>
      </c>
      <c r="J129" s="6">
        <v>0</v>
      </c>
      <c r="K129" s="6">
        <v>0</v>
      </c>
      <c r="L129" s="6">
        <v>-10.42</v>
      </c>
      <c r="M129" s="6">
        <v>-10.42</v>
      </c>
      <c r="N129" s="6">
        <v>-10.42</v>
      </c>
      <c r="O129" s="6">
        <v>-10.42</v>
      </c>
      <c r="P129" s="6">
        <v>0</v>
      </c>
      <c r="Q129" s="4" t="s">
        <v>26</v>
      </c>
      <c r="R129" s="4">
        <v>0</v>
      </c>
      <c r="S129" s="4" t="s">
        <v>136</v>
      </c>
      <c r="T129" s="4" t="s">
        <v>297</v>
      </c>
      <c r="U129" s="4">
        <v>0</v>
      </c>
      <c r="V129" s="4">
        <v>15</v>
      </c>
      <c r="W129" s="4">
        <v>43</v>
      </c>
    </row>
    <row r="130" spans="1:23" ht="11.25" customHeight="1" x14ac:dyDescent="0.3">
      <c r="A130" s="4" t="s">
        <v>28</v>
      </c>
      <c r="B130" s="4" t="s">
        <v>22</v>
      </c>
      <c r="C130" s="4" t="s">
        <v>23</v>
      </c>
      <c r="D130" s="4" t="s">
        <v>24</v>
      </c>
      <c r="E130" s="4" t="s">
        <v>24</v>
      </c>
      <c r="F130" s="4" t="s">
        <v>25</v>
      </c>
      <c r="G130" s="4" t="s">
        <v>25</v>
      </c>
      <c r="H130" s="4" t="s">
        <v>25</v>
      </c>
      <c r="I130" s="5">
        <v>44652</v>
      </c>
      <c r="J130" s="6">
        <v>0</v>
      </c>
      <c r="K130" s="6">
        <v>0</v>
      </c>
      <c r="L130" s="6">
        <v>6.2670000000000003</v>
      </c>
      <c r="M130" s="6">
        <v>6.2670000000000003</v>
      </c>
      <c r="N130" s="6">
        <v>6.2670000000000003</v>
      </c>
      <c r="O130" s="6">
        <v>6.2670000000000003</v>
      </c>
      <c r="P130" s="6">
        <v>45</v>
      </c>
      <c r="Q130" s="4" t="s">
        <v>26</v>
      </c>
      <c r="R130" s="4">
        <v>0</v>
      </c>
      <c r="S130" s="4" t="s">
        <v>136</v>
      </c>
      <c r="T130" s="4" t="s">
        <v>297</v>
      </c>
      <c r="U130" s="4">
        <v>0</v>
      </c>
      <c r="V130" s="4">
        <v>15</v>
      </c>
      <c r="W130" s="4">
        <v>43</v>
      </c>
    </row>
    <row r="131" spans="1:23" ht="11.25" customHeight="1" x14ac:dyDescent="0.3">
      <c r="A131" s="4" t="s">
        <v>21</v>
      </c>
      <c r="B131" s="4" t="s">
        <v>22</v>
      </c>
      <c r="C131" s="4" t="s">
        <v>23</v>
      </c>
      <c r="D131" s="4" t="s">
        <v>24</v>
      </c>
      <c r="E131" s="4" t="s">
        <v>24</v>
      </c>
      <c r="F131" s="4" t="s">
        <v>25</v>
      </c>
      <c r="G131" s="4" t="s">
        <v>25</v>
      </c>
      <c r="H131" s="4" t="s">
        <v>25</v>
      </c>
      <c r="I131" s="5">
        <v>44682</v>
      </c>
      <c r="J131" s="6">
        <v>0</v>
      </c>
      <c r="K131" s="6">
        <v>0</v>
      </c>
      <c r="L131" s="6">
        <v>480.74400000000003</v>
      </c>
      <c r="M131" s="6">
        <v>480.74400000000003</v>
      </c>
      <c r="N131" s="6">
        <v>480.74400000000003</v>
      </c>
      <c r="O131" s="6">
        <v>480.74400000000003</v>
      </c>
      <c r="P131" s="6">
        <v>3096</v>
      </c>
      <c r="Q131" s="4" t="s">
        <v>26</v>
      </c>
      <c r="R131" s="4">
        <v>0</v>
      </c>
      <c r="S131" s="4" t="s">
        <v>137</v>
      </c>
      <c r="T131" s="4" t="s">
        <v>298</v>
      </c>
      <c r="U131" s="4">
        <v>0</v>
      </c>
      <c r="V131" s="4">
        <v>15</v>
      </c>
      <c r="W131" s="4">
        <v>43</v>
      </c>
    </row>
    <row r="132" spans="1:23" ht="11.25" customHeight="1" x14ac:dyDescent="0.3">
      <c r="A132" s="4" t="s">
        <v>28</v>
      </c>
      <c r="B132" s="4" t="s">
        <v>22</v>
      </c>
      <c r="C132" s="4" t="s">
        <v>23</v>
      </c>
      <c r="D132" s="4" t="s">
        <v>24</v>
      </c>
      <c r="E132" s="4" t="s">
        <v>24</v>
      </c>
      <c r="F132" s="4" t="s">
        <v>25</v>
      </c>
      <c r="G132" s="4" t="s">
        <v>25</v>
      </c>
      <c r="H132" s="4" t="s">
        <v>25</v>
      </c>
      <c r="I132" s="5">
        <v>44682</v>
      </c>
      <c r="J132" s="6">
        <v>0</v>
      </c>
      <c r="K132" s="6">
        <v>0</v>
      </c>
      <c r="L132" s="6">
        <v>7.4240000000000004</v>
      </c>
      <c r="M132" s="6">
        <v>7.4240000000000004</v>
      </c>
      <c r="N132" s="6">
        <v>7.4240000000000004</v>
      </c>
      <c r="O132" s="6">
        <v>7.4240000000000004</v>
      </c>
      <c r="P132" s="6">
        <v>48</v>
      </c>
      <c r="Q132" s="4" t="s">
        <v>26</v>
      </c>
      <c r="R132" s="4">
        <v>0</v>
      </c>
      <c r="S132" s="4" t="s">
        <v>137</v>
      </c>
      <c r="T132" s="4" t="s">
        <v>298</v>
      </c>
      <c r="U132" s="4">
        <v>0</v>
      </c>
      <c r="V132" s="4">
        <v>15</v>
      </c>
      <c r="W132" s="4">
        <v>43</v>
      </c>
    </row>
    <row r="133" spans="1:23" ht="11.25" customHeight="1" x14ac:dyDescent="0.3">
      <c r="A133" s="4" t="s">
        <v>21</v>
      </c>
      <c r="B133" s="4" t="s">
        <v>22</v>
      </c>
      <c r="C133" s="4" t="s">
        <v>23</v>
      </c>
      <c r="D133" s="4" t="s">
        <v>24</v>
      </c>
      <c r="E133" s="4" t="s">
        <v>24</v>
      </c>
      <c r="F133" s="4" t="s">
        <v>25</v>
      </c>
      <c r="G133" s="4" t="s">
        <v>25</v>
      </c>
      <c r="H133" s="4" t="s">
        <v>25</v>
      </c>
      <c r="I133" s="5">
        <v>44713</v>
      </c>
      <c r="J133" s="6">
        <v>0</v>
      </c>
      <c r="K133" s="6">
        <v>0</v>
      </c>
      <c r="L133" s="6">
        <v>660.55600000000004</v>
      </c>
      <c r="M133" s="6">
        <v>660.55600000000004</v>
      </c>
      <c r="N133" s="6">
        <v>660.55600000000004</v>
      </c>
      <c r="O133" s="6">
        <v>660.55600000000004</v>
      </c>
      <c r="P133" s="6">
        <v>3096</v>
      </c>
      <c r="Q133" s="4" t="s">
        <v>26</v>
      </c>
      <c r="R133" s="4">
        <v>0</v>
      </c>
      <c r="S133" s="4" t="s">
        <v>138</v>
      </c>
      <c r="T133" s="4" t="s">
        <v>299</v>
      </c>
      <c r="U133" s="4">
        <v>0</v>
      </c>
      <c r="V133" s="4">
        <v>15</v>
      </c>
      <c r="W133" s="4">
        <v>43</v>
      </c>
    </row>
    <row r="134" spans="1:23" ht="11.25" customHeight="1" x14ac:dyDescent="0.3">
      <c r="A134" s="4" t="s">
        <v>27</v>
      </c>
      <c r="B134" s="4" t="s">
        <v>22</v>
      </c>
      <c r="C134" s="4" t="s">
        <v>23</v>
      </c>
      <c r="D134" s="4" t="s">
        <v>24</v>
      </c>
      <c r="E134" s="4" t="s">
        <v>24</v>
      </c>
      <c r="F134" s="4" t="s">
        <v>25</v>
      </c>
      <c r="G134" s="4" t="s">
        <v>25</v>
      </c>
      <c r="H134" s="4" t="s">
        <v>25</v>
      </c>
      <c r="I134" s="5">
        <v>44713</v>
      </c>
      <c r="J134" s="6">
        <v>0</v>
      </c>
      <c r="K134" s="6">
        <v>0</v>
      </c>
      <c r="L134" s="6">
        <v>-100.9</v>
      </c>
      <c r="M134" s="6">
        <v>-100.9</v>
      </c>
      <c r="N134" s="6">
        <v>-100.9</v>
      </c>
      <c r="O134" s="6">
        <v>-100.9</v>
      </c>
      <c r="P134" s="6">
        <v>0</v>
      </c>
      <c r="Q134" s="4" t="s">
        <v>26</v>
      </c>
      <c r="R134" s="4">
        <v>0</v>
      </c>
      <c r="S134" s="4" t="s">
        <v>138</v>
      </c>
      <c r="T134" s="4" t="s">
        <v>299</v>
      </c>
      <c r="U134" s="4">
        <v>0</v>
      </c>
      <c r="V134" s="4">
        <v>15</v>
      </c>
      <c r="W134" s="4">
        <v>43</v>
      </c>
    </row>
    <row r="135" spans="1:23" ht="11.25" customHeight="1" x14ac:dyDescent="0.3">
      <c r="A135" s="4" t="s">
        <v>28</v>
      </c>
      <c r="B135" s="4" t="s">
        <v>22</v>
      </c>
      <c r="C135" s="4" t="s">
        <v>23</v>
      </c>
      <c r="D135" s="4" t="s">
        <v>24</v>
      </c>
      <c r="E135" s="4" t="s">
        <v>24</v>
      </c>
      <c r="F135" s="4" t="s">
        <v>25</v>
      </c>
      <c r="G135" s="4" t="s">
        <v>25</v>
      </c>
      <c r="H135" s="4" t="s">
        <v>25</v>
      </c>
      <c r="I135" s="5">
        <v>44713</v>
      </c>
      <c r="J135" s="6">
        <v>0</v>
      </c>
      <c r="K135" s="6">
        <v>0</v>
      </c>
      <c r="L135" s="6">
        <v>14.672000000000001</v>
      </c>
      <c r="M135" s="6">
        <v>14.672000000000001</v>
      </c>
      <c r="N135" s="6">
        <v>14.672000000000001</v>
      </c>
      <c r="O135" s="6">
        <v>14.672000000000001</v>
      </c>
      <c r="P135" s="6">
        <v>54</v>
      </c>
      <c r="Q135" s="4" t="s">
        <v>26</v>
      </c>
      <c r="R135" s="4">
        <v>0</v>
      </c>
      <c r="S135" s="4" t="s">
        <v>138</v>
      </c>
      <c r="T135" s="4" t="s">
        <v>299</v>
      </c>
      <c r="U135" s="4">
        <v>0</v>
      </c>
      <c r="V135" s="4">
        <v>15</v>
      </c>
      <c r="W135" s="4">
        <v>43</v>
      </c>
    </row>
    <row r="136" spans="1:23" ht="11.25" customHeight="1" x14ac:dyDescent="0.3">
      <c r="A136" s="4" t="s">
        <v>21</v>
      </c>
      <c r="B136" s="4" t="s">
        <v>22</v>
      </c>
      <c r="C136" s="4" t="s">
        <v>23</v>
      </c>
      <c r="D136" s="4" t="s">
        <v>24</v>
      </c>
      <c r="E136" s="4" t="s">
        <v>24</v>
      </c>
      <c r="F136" s="4" t="s">
        <v>25</v>
      </c>
      <c r="G136" s="4" t="s">
        <v>25</v>
      </c>
      <c r="H136" s="4" t="s">
        <v>25</v>
      </c>
      <c r="I136" s="5">
        <v>44743</v>
      </c>
      <c r="J136" s="6">
        <v>0</v>
      </c>
      <c r="K136" s="6">
        <v>0</v>
      </c>
      <c r="L136" s="6">
        <v>581.66600000000005</v>
      </c>
      <c r="M136" s="6">
        <v>581.66600000000005</v>
      </c>
      <c r="N136" s="6">
        <v>581.66600000000005</v>
      </c>
      <c r="O136" s="6">
        <v>581.66600000000005</v>
      </c>
      <c r="P136" s="6">
        <v>3095</v>
      </c>
      <c r="Q136" s="4" t="s">
        <v>26</v>
      </c>
      <c r="R136" s="4">
        <v>0</v>
      </c>
      <c r="S136" s="4" t="s">
        <v>139</v>
      </c>
      <c r="T136" s="4" t="s">
        <v>300</v>
      </c>
      <c r="U136" s="4">
        <v>0</v>
      </c>
      <c r="V136" s="4">
        <v>15</v>
      </c>
      <c r="W136" s="4">
        <v>43</v>
      </c>
    </row>
    <row r="137" spans="1:23" ht="11.25" customHeight="1" x14ac:dyDescent="0.3">
      <c r="A137" s="4" t="s">
        <v>27</v>
      </c>
      <c r="B137" s="4" t="s">
        <v>22</v>
      </c>
      <c r="C137" s="4" t="s">
        <v>23</v>
      </c>
      <c r="D137" s="4" t="s">
        <v>24</v>
      </c>
      <c r="E137" s="4" t="s">
        <v>24</v>
      </c>
      <c r="F137" s="4" t="s">
        <v>25</v>
      </c>
      <c r="G137" s="4" t="s">
        <v>25</v>
      </c>
      <c r="H137" s="4" t="s">
        <v>25</v>
      </c>
      <c r="I137" s="5">
        <v>44743</v>
      </c>
      <c r="J137" s="6">
        <v>0</v>
      </c>
      <c r="K137" s="6">
        <v>0</v>
      </c>
      <c r="L137" s="6">
        <v>-3.3650000000000002</v>
      </c>
      <c r="M137" s="6">
        <v>-3.3650000000000002</v>
      </c>
      <c r="N137" s="6">
        <v>-3.3650000000000002</v>
      </c>
      <c r="O137" s="6">
        <v>-3.3650000000000002</v>
      </c>
      <c r="P137" s="6">
        <v>0</v>
      </c>
      <c r="Q137" s="4" t="s">
        <v>26</v>
      </c>
      <c r="R137" s="4">
        <v>0</v>
      </c>
      <c r="S137" s="4" t="s">
        <v>139</v>
      </c>
      <c r="T137" s="4" t="s">
        <v>300</v>
      </c>
      <c r="U137" s="4">
        <v>0</v>
      </c>
      <c r="V137" s="4">
        <v>15</v>
      </c>
      <c r="W137" s="4">
        <v>43</v>
      </c>
    </row>
    <row r="138" spans="1:23" ht="11.25" customHeight="1" x14ac:dyDescent="0.3">
      <c r="A138" s="4" t="s">
        <v>28</v>
      </c>
      <c r="B138" s="4" t="s">
        <v>22</v>
      </c>
      <c r="C138" s="4" t="s">
        <v>23</v>
      </c>
      <c r="D138" s="4" t="s">
        <v>24</v>
      </c>
      <c r="E138" s="4" t="s">
        <v>24</v>
      </c>
      <c r="F138" s="4" t="s">
        <v>25</v>
      </c>
      <c r="G138" s="4" t="s">
        <v>25</v>
      </c>
      <c r="H138" s="4" t="s">
        <v>25</v>
      </c>
      <c r="I138" s="5">
        <v>44743</v>
      </c>
      <c r="J138" s="6">
        <v>0</v>
      </c>
      <c r="K138" s="6">
        <v>0</v>
      </c>
      <c r="L138" s="6">
        <v>10.53</v>
      </c>
      <c r="M138" s="6">
        <v>10.53</v>
      </c>
      <c r="N138" s="6">
        <v>10.53</v>
      </c>
      <c r="O138" s="6">
        <v>10.53</v>
      </c>
      <c r="P138" s="6">
        <v>57</v>
      </c>
      <c r="Q138" s="4" t="s">
        <v>26</v>
      </c>
      <c r="R138" s="4">
        <v>0</v>
      </c>
      <c r="S138" s="4" t="s">
        <v>139</v>
      </c>
      <c r="T138" s="4" t="s">
        <v>300</v>
      </c>
      <c r="U138" s="4">
        <v>0</v>
      </c>
      <c r="V138" s="4">
        <v>15</v>
      </c>
      <c r="W138" s="4">
        <v>43</v>
      </c>
    </row>
    <row r="139" spans="1:23" ht="11.25" customHeight="1" x14ac:dyDescent="0.3">
      <c r="A139" s="4" t="s">
        <v>52</v>
      </c>
      <c r="B139" s="4" t="s">
        <v>22</v>
      </c>
      <c r="C139" s="4" t="s">
        <v>23</v>
      </c>
      <c r="D139" s="4" t="s">
        <v>24</v>
      </c>
      <c r="E139" s="4" t="s">
        <v>24</v>
      </c>
      <c r="F139" s="4" t="s">
        <v>25</v>
      </c>
      <c r="G139" s="4" t="s">
        <v>25</v>
      </c>
      <c r="H139" s="4" t="s">
        <v>25</v>
      </c>
      <c r="I139" s="5">
        <v>44774</v>
      </c>
      <c r="J139" s="6">
        <v>0</v>
      </c>
      <c r="K139" s="6">
        <v>0</v>
      </c>
      <c r="L139" s="6">
        <v>581.66600000000005</v>
      </c>
      <c r="M139" s="6">
        <v>581.66600000000005</v>
      </c>
      <c r="N139" s="6">
        <v>581.66600000000005</v>
      </c>
      <c r="O139" s="6">
        <v>581.66600000000005</v>
      </c>
      <c r="P139" s="6">
        <v>3095</v>
      </c>
      <c r="Q139" s="4" t="s">
        <v>26</v>
      </c>
      <c r="R139" s="4">
        <v>0</v>
      </c>
      <c r="S139" s="4" t="s">
        <v>140</v>
      </c>
      <c r="T139" s="4" t="s">
        <v>301</v>
      </c>
      <c r="U139" s="4">
        <v>0</v>
      </c>
      <c r="V139" s="4">
        <v>15</v>
      </c>
      <c r="W139" s="4">
        <v>43</v>
      </c>
    </row>
    <row r="140" spans="1:23" ht="11.25" customHeight="1" x14ac:dyDescent="0.3">
      <c r="A140" s="4" t="s">
        <v>52</v>
      </c>
      <c r="B140" s="4" t="s">
        <v>22</v>
      </c>
      <c r="C140" s="4" t="s">
        <v>23</v>
      </c>
      <c r="D140" s="4" t="s">
        <v>24</v>
      </c>
      <c r="E140" s="4" t="s">
        <v>24</v>
      </c>
      <c r="F140" s="4" t="s">
        <v>25</v>
      </c>
      <c r="G140" s="4" t="s">
        <v>25</v>
      </c>
      <c r="H140" s="4" t="s">
        <v>25</v>
      </c>
      <c r="I140" s="5">
        <v>44774</v>
      </c>
      <c r="J140" s="6">
        <v>0</v>
      </c>
      <c r="K140" s="6">
        <v>0</v>
      </c>
      <c r="L140" s="6">
        <v>-3.3650000000000002</v>
      </c>
      <c r="M140" s="6">
        <v>-3.3650000000000002</v>
      </c>
      <c r="N140" s="6">
        <v>-3.3650000000000002</v>
      </c>
      <c r="O140" s="6">
        <v>-3.3650000000000002</v>
      </c>
      <c r="P140" s="6">
        <v>0</v>
      </c>
      <c r="Q140" s="4" t="s">
        <v>26</v>
      </c>
      <c r="R140" s="4">
        <v>0</v>
      </c>
      <c r="S140" s="4" t="s">
        <v>140</v>
      </c>
      <c r="T140" s="4" t="s">
        <v>301</v>
      </c>
      <c r="U140" s="4">
        <v>0</v>
      </c>
      <c r="V140" s="4">
        <v>15</v>
      </c>
      <c r="W140" s="4">
        <v>43</v>
      </c>
    </row>
    <row r="141" spans="1:23" ht="11.25" customHeight="1" x14ac:dyDescent="0.3">
      <c r="A141" s="4" t="s">
        <v>52</v>
      </c>
      <c r="B141" s="4" t="s">
        <v>22</v>
      </c>
      <c r="C141" s="4" t="s">
        <v>23</v>
      </c>
      <c r="D141" s="4" t="s">
        <v>24</v>
      </c>
      <c r="E141" s="4" t="s">
        <v>24</v>
      </c>
      <c r="F141" s="4" t="s">
        <v>25</v>
      </c>
      <c r="G141" s="4" t="s">
        <v>25</v>
      </c>
      <c r="H141" s="4" t="s">
        <v>25</v>
      </c>
      <c r="I141" s="5">
        <v>44774</v>
      </c>
      <c r="J141" s="6">
        <v>0</v>
      </c>
      <c r="K141" s="6">
        <v>0</v>
      </c>
      <c r="L141" s="6">
        <v>10.53</v>
      </c>
      <c r="M141" s="6">
        <v>10.53</v>
      </c>
      <c r="N141" s="6">
        <v>10.53</v>
      </c>
      <c r="O141" s="6">
        <v>10.53</v>
      </c>
      <c r="P141" s="6">
        <v>57</v>
      </c>
      <c r="Q141" s="4" t="s">
        <v>26</v>
      </c>
      <c r="R141" s="4">
        <v>0</v>
      </c>
      <c r="S141" s="4" t="s">
        <v>140</v>
      </c>
      <c r="T141" s="4" t="s">
        <v>301</v>
      </c>
      <c r="U141" s="4">
        <v>0</v>
      </c>
      <c r="V141" s="4">
        <v>15</v>
      </c>
      <c r="W141" s="4">
        <v>43</v>
      </c>
    </row>
    <row r="142" spans="1:23" ht="11.25" customHeight="1" x14ac:dyDescent="0.3">
      <c r="A142" s="4" t="s">
        <v>21</v>
      </c>
      <c r="B142" s="4" t="s">
        <v>22</v>
      </c>
      <c r="C142" s="4" t="s">
        <v>23</v>
      </c>
      <c r="D142" s="4" t="s">
        <v>24</v>
      </c>
      <c r="E142" s="4" t="s">
        <v>29</v>
      </c>
      <c r="F142" s="4" t="s">
        <v>25</v>
      </c>
      <c r="G142" s="4" t="s">
        <v>25</v>
      </c>
      <c r="H142" s="4" t="s">
        <v>25</v>
      </c>
      <c r="I142" s="5">
        <v>44440</v>
      </c>
      <c r="J142" s="6">
        <v>0</v>
      </c>
      <c r="K142" s="6">
        <v>0</v>
      </c>
      <c r="L142" s="6">
        <v>3.93</v>
      </c>
      <c r="M142" s="6">
        <v>3.93</v>
      </c>
      <c r="N142" s="6">
        <v>3.93</v>
      </c>
      <c r="O142" s="6">
        <v>3.93</v>
      </c>
      <c r="P142" s="6">
        <v>13</v>
      </c>
      <c r="Q142" s="4" t="s">
        <v>26</v>
      </c>
      <c r="R142" s="4">
        <v>0</v>
      </c>
      <c r="S142" s="4" t="s">
        <v>141</v>
      </c>
      <c r="T142" s="4" t="s">
        <v>302</v>
      </c>
      <c r="U142" s="4">
        <v>0</v>
      </c>
      <c r="V142" s="4">
        <v>2</v>
      </c>
      <c r="W142" s="4">
        <v>38</v>
      </c>
    </row>
    <row r="143" spans="1:23" ht="11.25" customHeight="1" x14ac:dyDescent="0.3">
      <c r="A143" s="4" t="s">
        <v>21</v>
      </c>
      <c r="B143" s="4" t="s">
        <v>22</v>
      </c>
      <c r="C143" s="4" t="s">
        <v>23</v>
      </c>
      <c r="D143" s="4" t="s">
        <v>24</v>
      </c>
      <c r="E143" s="4" t="s">
        <v>29</v>
      </c>
      <c r="F143" s="4" t="s">
        <v>25</v>
      </c>
      <c r="G143" s="4" t="s">
        <v>25</v>
      </c>
      <c r="H143" s="4" t="s">
        <v>25</v>
      </c>
      <c r="I143" s="5">
        <v>44470</v>
      </c>
      <c r="J143" s="6">
        <v>0</v>
      </c>
      <c r="K143" s="6">
        <v>0</v>
      </c>
      <c r="L143" s="6">
        <v>4.05</v>
      </c>
      <c r="M143" s="6">
        <v>4.05</v>
      </c>
      <c r="N143" s="6">
        <v>4.05</v>
      </c>
      <c r="O143" s="6">
        <v>4.05</v>
      </c>
      <c r="P143" s="6">
        <v>7</v>
      </c>
      <c r="Q143" s="4" t="s">
        <v>26</v>
      </c>
      <c r="R143" s="4">
        <v>0</v>
      </c>
      <c r="S143" s="4" t="s">
        <v>142</v>
      </c>
      <c r="T143" s="4" t="s">
        <v>303</v>
      </c>
      <c r="U143" s="4">
        <v>0</v>
      </c>
      <c r="V143" s="4">
        <v>2</v>
      </c>
      <c r="W143" s="4">
        <v>38</v>
      </c>
    </row>
    <row r="144" spans="1:23" ht="11.25" customHeight="1" x14ac:dyDescent="0.3">
      <c r="A144" s="4" t="s">
        <v>21</v>
      </c>
      <c r="B144" s="4" t="s">
        <v>22</v>
      </c>
      <c r="C144" s="4" t="s">
        <v>23</v>
      </c>
      <c r="D144" s="4" t="s">
        <v>24</v>
      </c>
      <c r="E144" s="4" t="s">
        <v>29</v>
      </c>
      <c r="F144" s="4" t="s">
        <v>25</v>
      </c>
      <c r="G144" s="4" t="s">
        <v>25</v>
      </c>
      <c r="H144" s="4" t="s">
        <v>25</v>
      </c>
      <c r="I144" s="5">
        <v>44501</v>
      </c>
      <c r="J144" s="6">
        <v>0</v>
      </c>
      <c r="K144" s="6">
        <v>0</v>
      </c>
      <c r="L144" s="6">
        <v>4.08</v>
      </c>
      <c r="M144" s="6">
        <v>4.08</v>
      </c>
      <c r="N144" s="6">
        <v>4.08</v>
      </c>
      <c r="O144" s="6">
        <v>4.08</v>
      </c>
      <c r="P144" s="6">
        <v>7</v>
      </c>
      <c r="Q144" s="4" t="s">
        <v>26</v>
      </c>
      <c r="R144" s="4">
        <v>0</v>
      </c>
      <c r="S144" s="4" t="s">
        <v>143</v>
      </c>
      <c r="T144" s="4" t="s">
        <v>304</v>
      </c>
      <c r="U144" s="4">
        <v>0</v>
      </c>
      <c r="V144" s="4">
        <v>2</v>
      </c>
      <c r="W144" s="4">
        <v>38</v>
      </c>
    </row>
    <row r="145" spans="1:23" ht="11.25" customHeight="1" x14ac:dyDescent="0.3">
      <c r="A145" s="4" t="s">
        <v>21</v>
      </c>
      <c r="B145" s="4" t="s">
        <v>22</v>
      </c>
      <c r="C145" s="4" t="s">
        <v>23</v>
      </c>
      <c r="D145" s="4" t="s">
        <v>24</v>
      </c>
      <c r="E145" s="4" t="s">
        <v>29</v>
      </c>
      <c r="F145" s="4" t="s">
        <v>25</v>
      </c>
      <c r="G145" s="4" t="s">
        <v>25</v>
      </c>
      <c r="H145" s="4" t="s">
        <v>25</v>
      </c>
      <c r="I145" s="5">
        <v>44531</v>
      </c>
      <c r="J145" s="6">
        <v>0</v>
      </c>
      <c r="K145" s="6">
        <v>0</v>
      </c>
      <c r="L145" s="6">
        <v>4.17</v>
      </c>
      <c r="M145" s="6">
        <v>4.17</v>
      </c>
      <c r="N145" s="6">
        <v>4.17</v>
      </c>
      <c r="O145" s="6">
        <v>4.17</v>
      </c>
      <c r="P145" s="6">
        <v>7</v>
      </c>
      <c r="Q145" s="4" t="s">
        <v>26</v>
      </c>
      <c r="R145" s="4">
        <v>0</v>
      </c>
      <c r="S145" s="4" t="s">
        <v>144</v>
      </c>
      <c r="T145" s="4" t="s">
        <v>305</v>
      </c>
      <c r="U145" s="4">
        <v>0</v>
      </c>
      <c r="V145" s="4">
        <v>2</v>
      </c>
      <c r="W145" s="4">
        <v>38</v>
      </c>
    </row>
    <row r="146" spans="1:23" ht="11.25" customHeight="1" x14ac:dyDescent="0.3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29</v>
      </c>
      <c r="F146" s="4" t="s">
        <v>25</v>
      </c>
      <c r="G146" s="4" t="s">
        <v>25</v>
      </c>
      <c r="H146" s="4" t="s">
        <v>25</v>
      </c>
      <c r="I146" s="5">
        <v>44562</v>
      </c>
      <c r="J146" s="6">
        <v>0</v>
      </c>
      <c r="K146" s="6">
        <v>0</v>
      </c>
      <c r="L146" s="6">
        <v>4.2300000000000004</v>
      </c>
      <c r="M146" s="6">
        <v>4.2300000000000004</v>
      </c>
      <c r="N146" s="6">
        <v>4.2300000000000004</v>
      </c>
      <c r="O146" s="6">
        <v>4.2300000000000004</v>
      </c>
      <c r="P146" s="6">
        <v>10</v>
      </c>
      <c r="Q146" s="4" t="s">
        <v>26</v>
      </c>
      <c r="R146" s="4">
        <v>0</v>
      </c>
      <c r="S146" s="4" t="s">
        <v>145</v>
      </c>
      <c r="T146" s="4" t="s">
        <v>306</v>
      </c>
      <c r="U146" s="4">
        <v>0</v>
      </c>
      <c r="V146" s="4">
        <v>2</v>
      </c>
      <c r="W146" s="4">
        <v>38</v>
      </c>
    </row>
    <row r="147" spans="1:23" ht="11.25" customHeight="1" x14ac:dyDescent="0.3">
      <c r="A147" s="4" t="s">
        <v>21</v>
      </c>
      <c r="B147" s="4" t="s">
        <v>22</v>
      </c>
      <c r="C147" s="4" t="s">
        <v>23</v>
      </c>
      <c r="D147" s="4" t="s">
        <v>24</v>
      </c>
      <c r="E147" s="4" t="s">
        <v>29</v>
      </c>
      <c r="F147" s="4" t="s">
        <v>25</v>
      </c>
      <c r="G147" s="4" t="s">
        <v>25</v>
      </c>
      <c r="H147" s="4" t="s">
        <v>25</v>
      </c>
      <c r="I147" s="5">
        <v>44593</v>
      </c>
      <c r="J147" s="6">
        <v>0</v>
      </c>
      <c r="K147" s="6">
        <v>0</v>
      </c>
      <c r="L147" s="6">
        <v>4.41</v>
      </c>
      <c r="M147" s="6">
        <v>4.41</v>
      </c>
      <c r="N147" s="6">
        <v>4.41</v>
      </c>
      <c r="O147" s="6">
        <v>4.41</v>
      </c>
      <c r="P147" s="6">
        <v>7</v>
      </c>
      <c r="Q147" s="4" t="s">
        <v>26</v>
      </c>
      <c r="R147" s="4">
        <v>0</v>
      </c>
      <c r="S147" s="4" t="s">
        <v>146</v>
      </c>
      <c r="T147" s="4" t="s">
        <v>307</v>
      </c>
      <c r="U147" s="4">
        <v>0</v>
      </c>
      <c r="V147" s="4">
        <v>2</v>
      </c>
      <c r="W147" s="4">
        <v>38</v>
      </c>
    </row>
    <row r="148" spans="1:23" ht="11.25" customHeight="1" x14ac:dyDescent="0.3">
      <c r="A148" s="4" t="s">
        <v>21</v>
      </c>
      <c r="B148" s="4" t="s">
        <v>22</v>
      </c>
      <c r="C148" s="4" t="s">
        <v>23</v>
      </c>
      <c r="D148" s="4" t="s">
        <v>24</v>
      </c>
      <c r="E148" s="4" t="s">
        <v>29</v>
      </c>
      <c r="F148" s="4" t="s">
        <v>25</v>
      </c>
      <c r="G148" s="4" t="s">
        <v>25</v>
      </c>
      <c r="H148" s="4" t="s">
        <v>25</v>
      </c>
      <c r="I148" s="5">
        <v>44621</v>
      </c>
      <c r="J148" s="6">
        <v>0</v>
      </c>
      <c r="K148" s="6">
        <v>0</v>
      </c>
      <c r="L148" s="6">
        <v>4.53</v>
      </c>
      <c r="M148" s="6">
        <v>4.53</v>
      </c>
      <c r="N148" s="6">
        <v>4.53</v>
      </c>
      <c r="O148" s="6">
        <v>4.53</v>
      </c>
      <c r="P148" s="6">
        <v>9</v>
      </c>
      <c r="Q148" s="4" t="s">
        <v>26</v>
      </c>
      <c r="R148" s="4">
        <v>0</v>
      </c>
      <c r="S148" s="4" t="s">
        <v>147</v>
      </c>
      <c r="T148" s="4" t="s">
        <v>308</v>
      </c>
      <c r="U148" s="4">
        <v>0</v>
      </c>
      <c r="V148" s="4">
        <v>2</v>
      </c>
      <c r="W148" s="4">
        <v>38</v>
      </c>
    </row>
    <row r="149" spans="1:23" ht="11.25" customHeight="1" x14ac:dyDescent="0.3">
      <c r="A149" s="4" t="s">
        <v>27</v>
      </c>
      <c r="B149" s="4" t="s">
        <v>22</v>
      </c>
      <c r="C149" s="4" t="s">
        <v>23</v>
      </c>
      <c r="D149" s="4" t="s">
        <v>24</v>
      </c>
      <c r="E149" s="4" t="s">
        <v>29</v>
      </c>
      <c r="F149" s="4" t="s">
        <v>25</v>
      </c>
      <c r="G149" s="4" t="s">
        <v>25</v>
      </c>
      <c r="H149" s="4" t="s">
        <v>25</v>
      </c>
      <c r="I149" s="5">
        <v>44621</v>
      </c>
      <c r="J149" s="6">
        <v>0</v>
      </c>
      <c r="K149" s="6">
        <v>0</v>
      </c>
      <c r="L149" s="6">
        <v>0.03</v>
      </c>
      <c r="M149" s="6">
        <v>0.03</v>
      </c>
      <c r="N149" s="6">
        <v>0.03</v>
      </c>
      <c r="O149" s="6">
        <v>0.03</v>
      </c>
      <c r="P149" s="6">
        <v>0</v>
      </c>
      <c r="Q149" s="4" t="s">
        <v>26</v>
      </c>
      <c r="R149" s="4">
        <v>0</v>
      </c>
      <c r="S149" s="4" t="s">
        <v>147</v>
      </c>
      <c r="T149" s="4" t="s">
        <v>308</v>
      </c>
      <c r="U149" s="4">
        <v>0</v>
      </c>
      <c r="V149" s="4">
        <v>2</v>
      </c>
      <c r="W149" s="4">
        <v>38</v>
      </c>
    </row>
    <row r="150" spans="1:23" ht="11.25" customHeight="1" x14ac:dyDescent="0.3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29</v>
      </c>
      <c r="F150" s="4" t="s">
        <v>25</v>
      </c>
      <c r="G150" s="4" t="s">
        <v>25</v>
      </c>
      <c r="H150" s="4" t="s">
        <v>25</v>
      </c>
      <c r="I150" s="5">
        <v>44652</v>
      </c>
      <c r="J150" s="6">
        <v>0</v>
      </c>
      <c r="K150" s="6">
        <v>0</v>
      </c>
      <c r="L150" s="6">
        <v>5.19</v>
      </c>
      <c r="M150" s="6">
        <v>5.19</v>
      </c>
      <c r="N150" s="6">
        <v>5.19</v>
      </c>
      <c r="O150" s="6">
        <v>5.19</v>
      </c>
      <c r="P150" s="6">
        <v>13</v>
      </c>
      <c r="Q150" s="4" t="s">
        <v>26</v>
      </c>
      <c r="R150" s="4">
        <v>0</v>
      </c>
      <c r="S150" s="4" t="s">
        <v>148</v>
      </c>
      <c r="T150" s="4" t="s">
        <v>309</v>
      </c>
      <c r="U150" s="4">
        <v>0</v>
      </c>
      <c r="V150" s="4">
        <v>2</v>
      </c>
      <c r="W150" s="4">
        <v>38</v>
      </c>
    </row>
    <row r="151" spans="1:23" ht="11.25" customHeight="1" x14ac:dyDescent="0.3">
      <c r="A151" s="4" t="s">
        <v>21</v>
      </c>
      <c r="B151" s="4" t="s">
        <v>22</v>
      </c>
      <c r="C151" s="4" t="s">
        <v>23</v>
      </c>
      <c r="D151" s="4" t="s">
        <v>24</v>
      </c>
      <c r="E151" s="4" t="s">
        <v>29</v>
      </c>
      <c r="F151" s="4" t="s">
        <v>25</v>
      </c>
      <c r="G151" s="4" t="s">
        <v>25</v>
      </c>
      <c r="H151" s="4" t="s">
        <v>25</v>
      </c>
      <c r="I151" s="5">
        <v>44682</v>
      </c>
      <c r="J151" s="6">
        <v>0</v>
      </c>
      <c r="K151" s="6">
        <v>0</v>
      </c>
      <c r="L151" s="6">
        <v>5.58</v>
      </c>
      <c r="M151" s="6">
        <v>5.58</v>
      </c>
      <c r="N151" s="6">
        <v>5.58</v>
      </c>
      <c r="O151" s="6">
        <v>5.58</v>
      </c>
      <c r="P151" s="6">
        <v>15</v>
      </c>
      <c r="Q151" s="4" t="s">
        <v>26</v>
      </c>
      <c r="R151" s="4">
        <v>0</v>
      </c>
      <c r="S151" s="4" t="s">
        <v>149</v>
      </c>
      <c r="T151" s="4" t="s">
        <v>310</v>
      </c>
      <c r="U151" s="4">
        <v>0</v>
      </c>
      <c r="V151" s="4">
        <v>2</v>
      </c>
      <c r="W151" s="4">
        <v>38</v>
      </c>
    </row>
    <row r="152" spans="1:23" ht="11.25" customHeight="1" x14ac:dyDescent="0.3">
      <c r="A152" s="4" t="s">
        <v>21</v>
      </c>
      <c r="B152" s="4" t="s">
        <v>22</v>
      </c>
      <c r="C152" s="4" t="s">
        <v>23</v>
      </c>
      <c r="D152" s="4" t="s">
        <v>24</v>
      </c>
      <c r="E152" s="4" t="s">
        <v>29</v>
      </c>
      <c r="F152" s="4" t="s">
        <v>25</v>
      </c>
      <c r="G152" s="4" t="s">
        <v>25</v>
      </c>
      <c r="H152" s="4" t="s">
        <v>25</v>
      </c>
      <c r="I152" s="5">
        <v>44713</v>
      </c>
      <c r="J152" s="6">
        <v>0</v>
      </c>
      <c r="K152" s="6">
        <v>0</v>
      </c>
      <c r="L152" s="6">
        <v>5.58</v>
      </c>
      <c r="M152" s="6">
        <v>5.58</v>
      </c>
      <c r="N152" s="6">
        <v>5.58</v>
      </c>
      <c r="O152" s="6">
        <v>5.58</v>
      </c>
      <c r="P152" s="6">
        <v>14</v>
      </c>
      <c r="Q152" s="4" t="s">
        <v>26</v>
      </c>
      <c r="R152" s="4">
        <v>0</v>
      </c>
      <c r="S152" s="4" t="s">
        <v>150</v>
      </c>
      <c r="T152" s="4" t="s">
        <v>311</v>
      </c>
      <c r="U152" s="4">
        <v>0</v>
      </c>
      <c r="V152" s="4">
        <v>2</v>
      </c>
      <c r="W152" s="4">
        <v>38</v>
      </c>
    </row>
    <row r="153" spans="1:23" ht="11.25" customHeight="1" x14ac:dyDescent="0.3">
      <c r="A153" s="4" t="s">
        <v>21</v>
      </c>
      <c r="B153" s="4" t="s">
        <v>22</v>
      </c>
      <c r="C153" s="4" t="s">
        <v>23</v>
      </c>
      <c r="D153" s="4" t="s">
        <v>24</v>
      </c>
      <c r="E153" s="4" t="s">
        <v>29</v>
      </c>
      <c r="F153" s="4" t="s">
        <v>25</v>
      </c>
      <c r="G153" s="4" t="s">
        <v>25</v>
      </c>
      <c r="H153" s="4" t="s">
        <v>25</v>
      </c>
      <c r="I153" s="5">
        <v>44743</v>
      </c>
      <c r="J153" s="6">
        <v>0</v>
      </c>
      <c r="K153" s="6">
        <v>0</v>
      </c>
      <c r="L153" s="6">
        <v>5.52</v>
      </c>
      <c r="M153" s="6">
        <v>5.52</v>
      </c>
      <c r="N153" s="6">
        <v>5.52</v>
      </c>
      <c r="O153" s="6">
        <v>5.52</v>
      </c>
      <c r="P153" s="6">
        <v>12</v>
      </c>
      <c r="Q153" s="4" t="s">
        <v>26</v>
      </c>
      <c r="R153" s="4">
        <v>0</v>
      </c>
      <c r="S153" s="4" t="s">
        <v>151</v>
      </c>
      <c r="T153" s="4" t="s">
        <v>312</v>
      </c>
      <c r="U153" s="4">
        <v>0</v>
      </c>
      <c r="V153" s="4">
        <v>2</v>
      </c>
      <c r="W153" s="4">
        <v>38</v>
      </c>
    </row>
    <row r="154" spans="1:23" ht="11.25" customHeight="1" x14ac:dyDescent="0.3">
      <c r="A154" s="4" t="s">
        <v>52</v>
      </c>
      <c r="B154" s="4" t="s">
        <v>22</v>
      </c>
      <c r="C154" s="4" t="s">
        <v>23</v>
      </c>
      <c r="D154" s="4" t="s">
        <v>24</v>
      </c>
      <c r="E154" s="4" t="s">
        <v>29</v>
      </c>
      <c r="F154" s="4" t="s">
        <v>25</v>
      </c>
      <c r="G154" s="4" t="s">
        <v>25</v>
      </c>
      <c r="H154" s="4" t="s">
        <v>25</v>
      </c>
      <c r="I154" s="5">
        <v>44774</v>
      </c>
      <c r="J154" s="6">
        <v>0</v>
      </c>
      <c r="K154" s="6">
        <v>0</v>
      </c>
      <c r="L154" s="6">
        <v>5.52</v>
      </c>
      <c r="M154" s="6">
        <v>5.52</v>
      </c>
      <c r="N154" s="6">
        <v>5.52</v>
      </c>
      <c r="O154" s="6">
        <v>5.52</v>
      </c>
      <c r="P154" s="6">
        <v>12</v>
      </c>
      <c r="Q154" s="4" t="s">
        <v>26</v>
      </c>
      <c r="R154" s="4">
        <v>0</v>
      </c>
      <c r="S154" s="4" t="s">
        <v>152</v>
      </c>
      <c r="T154" s="4" t="s">
        <v>313</v>
      </c>
      <c r="U154" s="4">
        <v>0</v>
      </c>
      <c r="V154" s="4">
        <v>2</v>
      </c>
      <c r="W154" s="4">
        <v>38</v>
      </c>
    </row>
    <row r="155" spans="1:23" ht="11.25" customHeight="1" x14ac:dyDescent="0.3">
      <c r="A155" s="4" t="s">
        <v>21</v>
      </c>
      <c r="B155" s="4" t="s">
        <v>22</v>
      </c>
      <c r="C155" s="4" t="s">
        <v>23</v>
      </c>
      <c r="D155" s="4" t="s">
        <v>24</v>
      </c>
      <c r="E155" s="4" t="s">
        <v>30</v>
      </c>
      <c r="F155" s="4" t="s">
        <v>25</v>
      </c>
      <c r="G155" s="4" t="s">
        <v>25</v>
      </c>
      <c r="H155" s="4" t="s">
        <v>25</v>
      </c>
      <c r="I155" s="5">
        <v>44440</v>
      </c>
      <c r="J155" s="6">
        <v>0</v>
      </c>
      <c r="K155" s="6">
        <v>0</v>
      </c>
      <c r="L155" s="6">
        <v>7.4210000000000003</v>
      </c>
      <c r="M155" s="6">
        <v>7.4210000000000003</v>
      </c>
      <c r="N155" s="6">
        <v>7.4210000000000003</v>
      </c>
      <c r="O155" s="6">
        <v>7.4210000000000003</v>
      </c>
      <c r="P155" s="6">
        <v>28</v>
      </c>
      <c r="Q155" s="4" t="s">
        <v>26</v>
      </c>
      <c r="R155" s="4">
        <v>0</v>
      </c>
      <c r="S155" s="4" t="s">
        <v>153</v>
      </c>
      <c r="T155" s="4" t="s">
        <v>314</v>
      </c>
      <c r="U155" s="4">
        <v>0</v>
      </c>
      <c r="V155" s="4">
        <v>4</v>
      </c>
      <c r="W155" s="4">
        <v>55</v>
      </c>
    </row>
    <row r="156" spans="1:23" ht="11.25" customHeight="1" x14ac:dyDescent="0.3">
      <c r="A156" s="4" t="s">
        <v>21</v>
      </c>
      <c r="B156" s="4" t="s">
        <v>22</v>
      </c>
      <c r="C156" s="4" t="s">
        <v>23</v>
      </c>
      <c r="D156" s="4" t="s">
        <v>24</v>
      </c>
      <c r="E156" s="4" t="s">
        <v>30</v>
      </c>
      <c r="F156" s="4" t="s">
        <v>25</v>
      </c>
      <c r="G156" s="4" t="s">
        <v>25</v>
      </c>
      <c r="H156" s="4" t="s">
        <v>25</v>
      </c>
      <c r="I156" s="5">
        <v>44470</v>
      </c>
      <c r="J156" s="6">
        <v>0</v>
      </c>
      <c r="K156" s="6">
        <v>0</v>
      </c>
      <c r="L156" s="6">
        <v>8.0079999999999991</v>
      </c>
      <c r="M156" s="6">
        <v>8.0079999999999991</v>
      </c>
      <c r="N156" s="6">
        <v>8.0079999999999991</v>
      </c>
      <c r="O156" s="6">
        <v>8.0079999999999991</v>
      </c>
      <c r="P156" s="6">
        <v>30</v>
      </c>
      <c r="Q156" s="4" t="s">
        <v>26</v>
      </c>
      <c r="R156" s="4">
        <v>0</v>
      </c>
      <c r="S156" s="4" t="s">
        <v>154</v>
      </c>
      <c r="T156" s="4" t="s">
        <v>315</v>
      </c>
      <c r="U156" s="4">
        <v>0</v>
      </c>
      <c r="V156" s="4">
        <v>4</v>
      </c>
      <c r="W156" s="4">
        <v>55</v>
      </c>
    </row>
    <row r="157" spans="1:23" ht="11.25" customHeight="1" x14ac:dyDescent="0.3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30</v>
      </c>
      <c r="F157" s="4" t="s">
        <v>25</v>
      </c>
      <c r="G157" s="4" t="s">
        <v>25</v>
      </c>
      <c r="H157" s="4" t="s">
        <v>25</v>
      </c>
      <c r="I157" s="5">
        <v>44501</v>
      </c>
      <c r="J157" s="6">
        <v>0</v>
      </c>
      <c r="K157" s="6">
        <v>0</v>
      </c>
      <c r="L157" s="6">
        <v>8.048</v>
      </c>
      <c r="M157" s="6">
        <v>8.048</v>
      </c>
      <c r="N157" s="6">
        <v>8.048</v>
      </c>
      <c r="O157" s="6">
        <v>8.048</v>
      </c>
      <c r="P157" s="6">
        <v>31</v>
      </c>
      <c r="Q157" s="4" t="s">
        <v>26</v>
      </c>
      <c r="R157" s="4">
        <v>0</v>
      </c>
      <c r="S157" s="4" t="s">
        <v>155</v>
      </c>
      <c r="T157" s="4" t="s">
        <v>316</v>
      </c>
      <c r="U157" s="4">
        <v>0</v>
      </c>
      <c r="V157" s="4">
        <v>4</v>
      </c>
      <c r="W157" s="4">
        <v>55</v>
      </c>
    </row>
    <row r="158" spans="1:23" ht="11.25" customHeight="1" x14ac:dyDescent="0.3">
      <c r="A158" s="4" t="s">
        <v>21</v>
      </c>
      <c r="B158" s="4" t="s">
        <v>22</v>
      </c>
      <c r="C158" s="4" t="s">
        <v>23</v>
      </c>
      <c r="D158" s="4" t="s">
        <v>24</v>
      </c>
      <c r="E158" s="4" t="s">
        <v>30</v>
      </c>
      <c r="F158" s="4" t="s">
        <v>25</v>
      </c>
      <c r="G158" s="4" t="s">
        <v>25</v>
      </c>
      <c r="H158" s="4" t="s">
        <v>25</v>
      </c>
      <c r="I158" s="5">
        <v>44531</v>
      </c>
      <c r="J158" s="6">
        <v>0</v>
      </c>
      <c r="K158" s="6">
        <v>0</v>
      </c>
      <c r="L158" s="6">
        <v>8.4770000000000003</v>
      </c>
      <c r="M158" s="6">
        <v>8.4770000000000003</v>
      </c>
      <c r="N158" s="6">
        <v>8.4770000000000003</v>
      </c>
      <c r="O158" s="6">
        <v>8.4770000000000003</v>
      </c>
      <c r="P158" s="6">
        <v>27</v>
      </c>
      <c r="Q158" s="4" t="s">
        <v>26</v>
      </c>
      <c r="R158" s="4">
        <v>0</v>
      </c>
      <c r="S158" s="4" t="s">
        <v>156</v>
      </c>
      <c r="T158" s="4" t="s">
        <v>317</v>
      </c>
      <c r="U158" s="4">
        <v>0</v>
      </c>
      <c r="V158" s="4">
        <v>4</v>
      </c>
      <c r="W158" s="4">
        <v>55</v>
      </c>
    </row>
    <row r="159" spans="1:23" ht="11.25" customHeight="1" x14ac:dyDescent="0.3">
      <c r="A159" s="4" t="s">
        <v>21</v>
      </c>
      <c r="B159" s="4" t="s">
        <v>22</v>
      </c>
      <c r="C159" s="4" t="s">
        <v>23</v>
      </c>
      <c r="D159" s="4" t="s">
        <v>24</v>
      </c>
      <c r="E159" s="4" t="s">
        <v>30</v>
      </c>
      <c r="F159" s="4" t="s">
        <v>25</v>
      </c>
      <c r="G159" s="4" t="s">
        <v>25</v>
      </c>
      <c r="H159" s="4" t="s">
        <v>25</v>
      </c>
      <c r="I159" s="5">
        <v>44562</v>
      </c>
      <c r="J159" s="6">
        <v>0</v>
      </c>
      <c r="K159" s="6">
        <v>0</v>
      </c>
      <c r="L159" s="6">
        <v>8.7029999999999994</v>
      </c>
      <c r="M159" s="6">
        <v>8.7029999999999994</v>
      </c>
      <c r="N159" s="6">
        <v>8.7029999999999994</v>
      </c>
      <c r="O159" s="6">
        <v>8.7029999999999994</v>
      </c>
      <c r="P159" s="6">
        <v>23</v>
      </c>
      <c r="Q159" s="4" t="s">
        <v>26</v>
      </c>
      <c r="R159" s="4">
        <v>0</v>
      </c>
      <c r="S159" s="4" t="s">
        <v>157</v>
      </c>
      <c r="T159" s="4" t="s">
        <v>318</v>
      </c>
      <c r="U159" s="4">
        <v>0</v>
      </c>
      <c r="V159" s="4">
        <v>4</v>
      </c>
      <c r="W159" s="4">
        <v>55</v>
      </c>
    </row>
    <row r="160" spans="1:23" ht="11.25" customHeight="1" x14ac:dyDescent="0.3">
      <c r="A160" s="4" t="s">
        <v>21</v>
      </c>
      <c r="B160" s="4" t="s">
        <v>22</v>
      </c>
      <c r="C160" s="4" t="s">
        <v>23</v>
      </c>
      <c r="D160" s="4" t="s">
        <v>24</v>
      </c>
      <c r="E160" s="4" t="s">
        <v>30</v>
      </c>
      <c r="F160" s="4" t="s">
        <v>25</v>
      </c>
      <c r="G160" s="4" t="s">
        <v>25</v>
      </c>
      <c r="H160" s="4" t="s">
        <v>25</v>
      </c>
      <c r="I160" s="5">
        <v>44593</v>
      </c>
      <c r="J160" s="6">
        <v>0</v>
      </c>
      <c r="K160" s="6">
        <v>0</v>
      </c>
      <c r="L160" s="6">
        <v>9.3819999999999997</v>
      </c>
      <c r="M160" s="6">
        <v>9.3819999999999997</v>
      </c>
      <c r="N160" s="6">
        <v>9.3819999999999997</v>
      </c>
      <c r="O160" s="6">
        <v>9.3819999999999997</v>
      </c>
      <c r="P160" s="6">
        <v>17</v>
      </c>
      <c r="Q160" s="4" t="s">
        <v>26</v>
      </c>
      <c r="R160" s="4">
        <v>0</v>
      </c>
      <c r="S160" s="4" t="s">
        <v>158</v>
      </c>
      <c r="T160" s="4" t="s">
        <v>319</v>
      </c>
      <c r="U160" s="4">
        <v>0</v>
      </c>
      <c r="V160" s="4">
        <v>4</v>
      </c>
      <c r="W160" s="4">
        <v>55</v>
      </c>
    </row>
    <row r="161" spans="1:23" ht="11.25" customHeight="1" x14ac:dyDescent="0.3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30</v>
      </c>
      <c r="F161" s="4" t="s">
        <v>25</v>
      </c>
      <c r="G161" s="4" t="s">
        <v>25</v>
      </c>
      <c r="H161" s="4" t="s">
        <v>25</v>
      </c>
      <c r="I161" s="5">
        <v>44621</v>
      </c>
      <c r="J161" s="6">
        <v>0</v>
      </c>
      <c r="K161" s="6">
        <v>0</v>
      </c>
      <c r="L161" s="6">
        <v>9.3979999999999997</v>
      </c>
      <c r="M161" s="6">
        <v>9.3979999999999997</v>
      </c>
      <c r="N161" s="6">
        <v>9.3979999999999997</v>
      </c>
      <c r="O161" s="6">
        <v>9.3979999999999997</v>
      </c>
      <c r="P161" s="6">
        <v>20</v>
      </c>
      <c r="Q161" s="4" t="s">
        <v>26</v>
      </c>
      <c r="R161" s="4">
        <v>0</v>
      </c>
      <c r="S161" s="4" t="s">
        <v>159</v>
      </c>
      <c r="T161" s="4" t="s">
        <v>320</v>
      </c>
      <c r="U161" s="4">
        <v>0</v>
      </c>
      <c r="V161" s="4">
        <v>4</v>
      </c>
      <c r="W161" s="4">
        <v>55</v>
      </c>
    </row>
    <row r="162" spans="1:23" ht="11.25" customHeight="1" x14ac:dyDescent="0.3">
      <c r="A162" s="4" t="s">
        <v>27</v>
      </c>
      <c r="B162" s="4" t="s">
        <v>22</v>
      </c>
      <c r="C162" s="4" t="s">
        <v>23</v>
      </c>
      <c r="D162" s="4" t="s">
        <v>24</v>
      </c>
      <c r="E162" s="4" t="s">
        <v>30</v>
      </c>
      <c r="F162" s="4" t="s">
        <v>25</v>
      </c>
      <c r="G162" s="4" t="s">
        <v>25</v>
      </c>
      <c r="H162" s="4" t="s">
        <v>25</v>
      </c>
      <c r="I162" s="5">
        <v>44621</v>
      </c>
      <c r="J162" s="6">
        <v>0</v>
      </c>
      <c r="K162" s="6">
        <v>0</v>
      </c>
      <c r="L162" s="6">
        <v>7.0000000000000007E-2</v>
      </c>
      <c r="M162" s="6">
        <v>7.0000000000000007E-2</v>
      </c>
      <c r="N162" s="6">
        <v>7.0000000000000007E-2</v>
      </c>
      <c r="O162" s="6">
        <v>7.0000000000000007E-2</v>
      </c>
      <c r="P162" s="6">
        <v>0</v>
      </c>
      <c r="Q162" s="4" t="s">
        <v>26</v>
      </c>
      <c r="R162" s="4">
        <v>0</v>
      </c>
      <c r="S162" s="4" t="s">
        <v>159</v>
      </c>
      <c r="T162" s="4" t="s">
        <v>320</v>
      </c>
      <c r="U162" s="4">
        <v>0</v>
      </c>
      <c r="V162" s="4">
        <v>4</v>
      </c>
      <c r="W162" s="4">
        <v>55</v>
      </c>
    </row>
    <row r="163" spans="1:23" ht="11.25" customHeight="1" x14ac:dyDescent="0.3">
      <c r="A163" s="4" t="s">
        <v>21</v>
      </c>
      <c r="B163" s="4" t="s">
        <v>22</v>
      </c>
      <c r="C163" s="4" t="s">
        <v>23</v>
      </c>
      <c r="D163" s="4" t="s">
        <v>24</v>
      </c>
      <c r="E163" s="4" t="s">
        <v>30</v>
      </c>
      <c r="F163" s="4" t="s">
        <v>25</v>
      </c>
      <c r="G163" s="4" t="s">
        <v>25</v>
      </c>
      <c r="H163" s="4" t="s">
        <v>25</v>
      </c>
      <c r="I163" s="5">
        <v>44652</v>
      </c>
      <c r="J163" s="6">
        <v>0</v>
      </c>
      <c r="K163" s="6">
        <v>0</v>
      </c>
      <c r="L163" s="6">
        <v>10.208</v>
      </c>
      <c r="M163" s="6">
        <v>10.208</v>
      </c>
      <c r="N163" s="6">
        <v>10.208</v>
      </c>
      <c r="O163" s="6">
        <v>10.208</v>
      </c>
      <c r="P163" s="6">
        <v>32</v>
      </c>
      <c r="Q163" s="4" t="s">
        <v>26</v>
      </c>
      <c r="R163" s="4">
        <v>0</v>
      </c>
      <c r="S163" s="4" t="s">
        <v>160</v>
      </c>
      <c r="T163" s="4" t="s">
        <v>321</v>
      </c>
      <c r="U163" s="4">
        <v>0</v>
      </c>
      <c r="V163" s="4">
        <v>4</v>
      </c>
      <c r="W163" s="4">
        <v>55</v>
      </c>
    </row>
    <row r="164" spans="1:23" ht="11.25" customHeight="1" x14ac:dyDescent="0.3">
      <c r="A164" s="4" t="s">
        <v>21</v>
      </c>
      <c r="B164" s="4" t="s">
        <v>22</v>
      </c>
      <c r="C164" s="4" t="s">
        <v>23</v>
      </c>
      <c r="D164" s="4" t="s">
        <v>24</v>
      </c>
      <c r="E164" s="4" t="s">
        <v>30</v>
      </c>
      <c r="F164" s="4" t="s">
        <v>25</v>
      </c>
      <c r="G164" s="4" t="s">
        <v>25</v>
      </c>
      <c r="H164" s="4" t="s">
        <v>25</v>
      </c>
      <c r="I164" s="5">
        <v>44682</v>
      </c>
      <c r="J164" s="6">
        <v>0</v>
      </c>
      <c r="K164" s="6">
        <v>0</v>
      </c>
      <c r="L164" s="6">
        <v>11.129</v>
      </c>
      <c r="M164" s="6">
        <v>11.129</v>
      </c>
      <c r="N164" s="6">
        <v>11.129</v>
      </c>
      <c r="O164" s="6">
        <v>11.129</v>
      </c>
      <c r="P164" s="6">
        <v>31</v>
      </c>
      <c r="Q164" s="4" t="s">
        <v>26</v>
      </c>
      <c r="R164" s="4">
        <v>0</v>
      </c>
      <c r="S164" s="4" t="s">
        <v>161</v>
      </c>
      <c r="T164" s="4" t="s">
        <v>322</v>
      </c>
      <c r="U164" s="4">
        <v>0</v>
      </c>
      <c r="V164" s="4">
        <v>4</v>
      </c>
      <c r="W164" s="4">
        <v>55</v>
      </c>
    </row>
    <row r="165" spans="1:23" ht="11.25" customHeight="1" x14ac:dyDescent="0.3">
      <c r="A165" s="4" t="s">
        <v>21</v>
      </c>
      <c r="B165" s="4" t="s">
        <v>22</v>
      </c>
      <c r="C165" s="4" t="s">
        <v>23</v>
      </c>
      <c r="D165" s="4" t="s">
        <v>24</v>
      </c>
      <c r="E165" s="4" t="s">
        <v>30</v>
      </c>
      <c r="F165" s="4" t="s">
        <v>25</v>
      </c>
      <c r="G165" s="4" t="s">
        <v>25</v>
      </c>
      <c r="H165" s="4" t="s">
        <v>25</v>
      </c>
      <c r="I165" s="5">
        <v>44713</v>
      </c>
      <c r="J165" s="6">
        <v>0</v>
      </c>
      <c r="K165" s="6">
        <v>0</v>
      </c>
      <c r="L165" s="6">
        <v>11.378</v>
      </c>
      <c r="M165" s="6">
        <v>11.378</v>
      </c>
      <c r="N165" s="6">
        <v>11.378</v>
      </c>
      <c r="O165" s="6">
        <v>11.378</v>
      </c>
      <c r="P165" s="6">
        <v>27</v>
      </c>
      <c r="Q165" s="4" t="s">
        <v>26</v>
      </c>
      <c r="R165" s="4">
        <v>0</v>
      </c>
      <c r="S165" s="4" t="s">
        <v>162</v>
      </c>
      <c r="T165" s="4" t="s">
        <v>323</v>
      </c>
      <c r="U165" s="4">
        <v>0</v>
      </c>
      <c r="V165" s="4">
        <v>4</v>
      </c>
      <c r="W165" s="4">
        <v>55</v>
      </c>
    </row>
    <row r="166" spans="1:23" ht="11.25" customHeight="1" x14ac:dyDescent="0.3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30</v>
      </c>
      <c r="F166" s="4" t="s">
        <v>25</v>
      </c>
      <c r="G166" s="4" t="s">
        <v>25</v>
      </c>
      <c r="H166" s="4" t="s">
        <v>25</v>
      </c>
      <c r="I166" s="5">
        <v>44743</v>
      </c>
      <c r="J166" s="6">
        <v>0</v>
      </c>
      <c r="K166" s="6">
        <v>0</v>
      </c>
      <c r="L166" s="6">
        <v>11.169</v>
      </c>
      <c r="M166" s="6">
        <v>11.169</v>
      </c>
      <c r="N166" s="6">
        <v>11.169</v>
      </c>
      <c r="O166" s="6">
        <v>11.169</v>
      </c>
      <c r="P166" s="6">
        <v>32</v>
      </c>
      <c r="Q166" s="4" t="s">
        <v>26</v>
      </c>
      <c r="R166" s="4">
        <v>0</v>
      </c>
      <c r="S166" s="4" t="s">
        <v>163</v>
      </c>
      <c r="T166" s="4" t="s">
        <v>324</v>
      </c>
      <c r="U166" s="4">
        <v>0</v>
      </c>
      <c r="V166" s="4">
        <v>4</v>
      </c>
      <c r="W166" s="4">
        <v>55</v>
      </c>
    </row>
    <row r="167" spans="1:23" ht="11.25" customHeight="1" x14ac:dyDescent="0.3">
      <c r="A167" s="4" t="s">
        <v>52</v>
      </c>
      <c r="B167" s="4" t="s">
        <v>22</v>
      </c>
      <c r="C167" s="4" t="s">
        <v>23</v>
      </c>
      <c r="D167" s="4" t="s">
        <v>24</v>
      </c>
      <c r="E167" s="4" t="s">
        <v>30</v>
      </c>
      <c r="F167" s="4" t="s">
        <v>25</v>
      </c>
      <c r="G167" s="4" t="s">
        <v>25</v>
      </c>
      <c r="H167" s="4" t="s">
        <v>25</v>
      </c>
      <c r="I167" s="5">
        <v>44774</v>
      </c>
      <c r="J167" s="6">
        <v>0</v>
      </c>
      <c r="K167" s="6">
        <v>0</v>
      </c>
      <c r="L167" s="6">
        <v>11.169</v>
      </c>
      <c r="M167" s="6">
        <v>11.169</v>
      </c>
      <c r="N167" s="6">
        <v>11.169</v>
      </c>
      <c r="O167" s="6">
        <v>11.169</v>
      </c>
      <c r="P167" s="6">
        <v>32</v>
      </c>
      <c r="Q167" s="4" t="s">
        <v>26</v>
      </c>
      <c r="R167" s="4">
        <v>0</v>
      </c>
      <c r="S167" s="4" t="s">
        <v>164</v>
      </c>
      <c r="T167" s="4" t="s">
        <v>325</v>
      </c>
      <c r="U167" s="4">
        <v>0</v>
      </c>
      <c r="V167" s="4">
        <v>4</v>
      </c>
      <c r="W167" s="4">
        <v>55</v>
      </c>
    </row>
    <row r="168" spans="1:23" ht="11.25" customHeight="1" x14ac:dyDescent="0.3">
      <c r="A168" s="4" t="s">
        <v>21</v>
      </c>
      <c r="B168" s="4" t="s">
        <v>22</v>
      </c>
      <c r="C168" s="4" t="s">
        <v>23</v>
      </c>
      <c r="D168" s="4" t="s">
        <v>24</v>
      </c>
      <c r="E168" s="4" t="s">
        <v>31</v>
      </c>
      <c r="F168" s="4" t="s">
        <v>25</v>
      </c>
      <c r="G168" s="4" t="s">
        <v>25</v>
      </c>
      <c r="H168" s="4" t="s">
        <v>25</v>
      </c>
      <c r="I168" s="5">
        <v>44440</v>
      </c>
      <c r="J168" s="6">
        <v>0</v>
      </c>
      <c r="K168" s="6">
        <v>0</v>
      </c>
      <c r="L168" s="6">
        <v>6.57</v>
      </c>
      <c r="M168" s="6">
        <v>6.57</v>
      </c>
      <c r="N168" s="6">
        <v>6.57</v>
      </c>
      <c r="O168" s="6">
        <v>6.57</v>
      </c>
      <c r="P168" s="6">
        <v>64</v>
      </c>
      <c r="Q168" s="4" t="s">
        <v>26</v>
      </c>
      <c r="R168" s="4">
        <v>0</v>
      </c>
      <c r="S168" s="4" t="s">
        <v>165</v>
      </c>
      <c r="T168" s="4" t="s">
        <v>326</v>
      </c>
      <c r="U168" s="4">
        <v>0</v>
      </c>
      <c r="V168" s="4">
        <v>7</v>
      </c>
      <c r="W168" s="4">
        <v>63</v>
      </c>
    </row>
    <row r="169" spans="1:23" ht="11.25" customHeight="1" x14ac:dyDescent="0.3">
      <c r="A169" s="4" t="s">
        <v>21</v>
      </c>
      <c r="B169" s="4" t="s">
        <v>22</v>
      </c>
      <c r="C169" s="4" t="s">
        <v>23</v>
      </c>
      <c r="D169" s="4" t="s">
        <v>24</v>
      </c>
      <c r="E169" s="4" t="s">
        <v>31</v>
      </c>
      <c r="F169" s="4" t="s">
        <v>25</v>
      </c>
      <c r="G169" s="4" t="s">
        <v>25</v>
      </c>
      <c r="H169" s="4" t="s">
        <v>25</v>
      </c>
      <c r="I169" s="5">
        <v>44470</v>
      </c>
      <c r="J169" s="6">
        <v>0</v>
      </c>
      <c r="K169" s="6">
        <v>0</v>
      </c>
      <c r="L169" s="6">
        <v>8.2279999999999998</v>
      </c>
      <c r="M169" s="6">
        <v>8.2279999999999998</v>
      </c>
      <c r="N169" s="6">
        <v>8.2279999999999998</v>
      </c>
      <c r="O169" s="6">
        <v>8.2279999999999998</v>
      </c>
      <c r="P169" s="6">
        <v>60</v>
      </c>
      <c r="Q169" s="4" t="s">
        <v>26</v>
      </c>
      <c r="R169" s="4">
        <v>0</v>
      </c>
      <c r="S169" s="4" t="s">
        <v>166</v>
      </c>
      <c r="T169" s="4" t="s">
        <v>327</v>
      </c>
      <c r="U169" s="4">
        <v>0</v>
      </c>
      <c r="V169" s="4">
        <v>7</v>
      </c>
      <c r="W169" s="4">
        <v>63</v>
      </c>
    </row>
    <row r="170" spans="1:23" ht="11.25" customHeight="1" x14ac:dyDescent="0.3">
      <c r="A170" s="4" t="s">
        <v>21</v>
      </c>
      <c r="B170" s="4" t="s">
        <v>22</v>
      </c>
      <c r="C170" s="4" t="s">
        <v>23</v>
      </c>
      <c r="D170" s="4" t="s">
        <v>24</v>
      </c>
      <c r="E170" s="4" t="s">
        <v>31</v>
      </c>
      <c r="F170" s="4" t="s">
        <v>25</v>
      </c>
      <c r="G170" s="4" t="s">
        <v>25</v>
      </c>
      <c r="H170" s="4" t="s">
        <v>25</v>
      </c>
      <c r="I170" s="5">
        <v>44501</v>
      </c>
      <c r="J170" s="6">
        <v>0</v>
      </c>
      <c r="K170" s="6">
        <v>0</v>
      </c>
      <c r="L170" s="6">
        <v>7.726</v>
      </c>
      <c r="M170" s="6">
        <v>7.726</v>
      </c>
      <c r="N170" s="6">
        <v>7.726</v>
      </c>
      <c r="O170" s="6">
        <v>7.726</v>
      </c>
      <c r="P170" s="6">
        <v>67</v>
      </c>
      <c r="Q170" s="4" t="s">
        <v>26</v>
      </c>
      <c r="R170" s="4">
        <v>0</v>
      </c>
      <c r="S170" s="4" t="s">
        <v>167</v>
      </c>
      <c r="T170" s="4" t="s">
        <v>328</v>
      </c>
      <c r="U170" s="4">
        <v>0</v>
      </c>
      <c r="V170" s="4">
        <v>7</v>
      </c>
      <c r="W170" s="4">
        <v>63</v>
      </c>
    </row>
    <row r="171" spans="1:23" ht="11.25" customHeight="1" x14ac:dyDescent="0.3">
      <c r="A171" s="4" t="s">
        <v>21</v>
      </c>
      <c r="B171" s="4" t="s">
        <v>22</v>
      </c>
      <c r="C171" s="4" t="s">
        <v>23</v>
      </c>
      <c r="D171" s="4" t="s">
        <v>24</v>
      </c>
      <c r="E171" s="4" t="s">
        <v>31</v>
      </c>
      <c r="F171" s="4" t="s">
        <v>25</v>
      </c>
      <c r="G171" s="4" t="s">
        <v>25</v>
      </c>
      <c r="H171" s="4" t="s">
        <v>25</v>
      </c>
      <c r="I171" s="5">
        <v>44531</v>
      </c>
      <c r="J171" s="6">
        <v>0</v>
      </c>
      <c r="K171" s="6">
        <v>0</v>
      </c>
      <c r="L171" s="6">
        <v>7.9729999999999999</v>
      </c>
      <c r="M171" s="6">
        <v>7.9729999999999999</v>
      </c>
      <c r="N171" s="6">
        <v>7.9729999999999999</v>
      </c>
      <c r="O171" s="6">
        <v>7.9729999999999999</v>
      </c>
      <c r="P171" s="6">
        <v>71</v>
      </c>
      <c r="Q171" s="4" t="s">
        <v>26</v>
      </c>
      <c r="R171" s="4">
        <v>0</v>
      </c>
      <c r="S171" s="4" t="s">
        <v>168</v>
      </c>
      <c r="T171" s="4" t="s">
        <v>329</v>
      </c>
      <c r="U171" s="4">
        <v>0</v>
      </c>
      <c r="V171" s="4">
        <v>7</v>
      </c>
      <c r="W171" s="4">
        <v>63</v>
      </c>
    </row>
    <row r="172" spans="1:23" ht="11.25" customHeight="1" x14ac:dyDescent="0.3">
      <c r="A172" s="4" t="s">
        <v>21</v>
      </c>
      <c r="B172" s="4" t="s">
        <v>22</v>
      </c>
      <c r="C172" s="4" t="s">
        <v>23</v>
      </c>
      <c r="D172" s="4" t="s">
        <v>24</v>
      </c>
      <c r="E172" s="4" t="s">
        <v>31</v>
      </c>
      <c r="F172" s="4" t="s">
        <v>25</v>
      </c>
      <c r="G172" s="4" t="s">
        <v>25</v>
      </c>
      <c r="H172" s="4" t="s">
        <v>25</v>
      </c>
      <c r="I172" s="5">
        <v>44562</v>
      </c>
      <c r="J172" s="6">
        <v>0</v>
      </c>
      <c r="K172" s="6">
        <v>0</v>
      </c>
      <c r="L172" s="6">
        <v>9.3420000000000005</v>
      </c>
      <c r="M172" s="6">
        <v>9.3420000000000005</v>
      </c>
      <c r="N172" s="6">
        <v>9.3420000000000005</v>
      </c>
      <c r="O172" s="6">
        <v>9.3420000000000005</v>
      </c>
      <c r="P172" s="6">
        <v>60</v>
      </c>
      <c r="Q172" s="4" t="s">
        <v>26</v>
      </c>
      <c r="R172" s="4">
        <v>0</v>
      </c>
      <c r="S172" s="4" t="s">
        <v>169</v>
      </c>
      <c r="T172" s="4" t="s">
        <v>330</v>
      </c>
      <c r="U172" s="4">
        <v>0</v>
      </c>
      <c r="V172" s="4">
        <v>7</v>
      </c>
      <c r="W172" s="4">
        <v>63</v>
      </c>
    </row>
    <row r="173" spans="1:23" ht="11.25" customHeight="1" x14ac:dyDescent="0.3">
      <c r="A173" s="4" t="s">
        <v>21</v>
      </c>
      <c r="B173" s="4" t="s">
        <v>22</v>
      </c>
      <c r="C173" s="4" t="s">
        <v>23</v>
      </c>
      <c r="D173" s="4" t="s">
        <v>24</v>
      </c>
      <c r="E173" s="4" t="s">
        <v>31</v>
      </c>
      <c r="F173" s="4" t="s">
        <v>25</v>
      </c>
      <c r="G173" s="4" t="s">
        <v>25</v>
      </c>
      <c r="H173" s="4" t="s">
        <v>25</v>
      </c>
      <c r="I173" s="5">
        <v>44593</v>
      </c>
      <c r="J173" s="6">
        <v>0</v>
      </c>
      <c r="K173" s="6">
        <v>0</v>
      </c>
      <c r="L173" s="6">
        <v>11.077</v>
      </c>
      <c r="M173" s="6">
        <v>11.077</v>
      </c>
      <c r="N173" s="6">
        <v>11.077</v>
      </c>
      <c r="O173" s="6">
        <v>11.077</v>
      </c>
      <c r="P173" s="6">
        <v>65</v>
      </c>
      <c r="Q173" s="4" t="s">
        <v>26</v>
      </c>
      <c r="R173" s="4">
        <v>0</v>
      </c>
      <c r="S173" s="4" t="s">
        <v>170</v>
      </c>
      <c r="T173" s="4" t="s">
        <v>331</v>
      </c>
      <c r="U173" s="4">
        <v>0</v>
      </c>
      <c r="V173" s="4">
        <v>7</v>
      </c>
      <c r="W173" s="4">
        <v>63</v>
      </c>
    </row>
    <row r="174" spans="1:23" ht="11.25" customHeight="1" x14ac:dyDescent="0.3">
      <c r="A174" s="4" t="s">
        <v>21</v>
      </c>
      <c r="B174" s="4" t="s">
        <v>22</v>
      </c>
      <c r="C174" s="4" t="s">
        <v>23</v>
      </c>
      <c r="D174" s="4" t="s">
        <v>24</v>
      </c>
      <c r="E174" s="4" t="s">
        <v>31</v>
      </c>
      <c r="F174" s="4" t="s">
        <v>25</v>
      </c>
      <c r="G174" s="4" t="s">
        <v>25</v>
      </c>
      <c r="H174" s="4" t="s">
        <v>25</v>
      </c>
      <c r="I174" s="5">
        <v>44621</v>
      </c>
      <c r="J174" s="6">
        <v>0</v>
      </c>
      <c r="K174" s="6">
        <v>0</v>
      </c>
      <c r="L174" s="6">
        <v>9.8089999999999993</v>
      </c>
      <c r="M174" s="6">
        <v>9.8089999999999993</v>
      </c>
      <c r="N174" s="6">
        <v>9.8089999999999993</v>
      </c>
      <c r="O174" s="6">
        <v>9.8089999999999993</v>
      </c>
      <c r="P174" s="6">
        <v>71</v>
      </c>
      <c r="Q174" s="4" t="s">
        <v>26</v>
      </c>
      <c r="R174" s="4">
        <v>0</v>
      </c>
      <c r="S174" s="4" t="s">
        <v>171</v>
      </c>
      <c r="T174" s="4" t="s">
        <v>332</v>
      </c>
      <c r="U174" s="4">
        <v>0</v>
      </c>
      <c r="V174" s="4">
        <v>7</v>
      </c>
      <c r="W174" s="4">
        <v>63</v>
      </c>
    </row>
    <row r="175" spans="1:23" ht="11.25" customHeight="1" x14ac:dyDescent="0.3">
      <c r="A175" s="4" t="s">
        <v>27</v>
      </c>
      <c r="B175" s="4" t="s">
        <v>22</v>
      </c>
      <c r="C175" s="4" t="s">
        <v>23</v>
      </c>
      <c r="D175" s="4" t="s">
        <v>24</v>
      </c>
      <c r="E175" s="4" t="s">
        <v>31</v>
      </c>
      <c r="F175" s="4" t="s">
        <v>25</v>
      </c>
      <c r="G175" s="4" t="s">
        <v>25</v>
      </c>
      <c r="H175" s="4" t="s">
        <v>25</v>
      </c>
      <c r="I175" s="5">
        <v>44621</v>
      </c>
      <c r="J175" s="6">
        <v>0</v>
      </c>
      <c r="K175" s="6">
        <v>0</v>
      </c>
      <c r="L175" s="6">
        <v>5.0999999999999997E-2</v>
      </c>
      <c r="M175" s="6">
        <v>5.0999999999999997E-2</v>
      </c>
      <c r="N175" s="6">
        <v>5.0999999999999997E-2</v>
      </c>
      <c r="O175" s="6">
        <v>5.0999999999999997E-2</v>
      </c>
      <c r="P175" s="6">
        <v>0</v>
      </c>
      <c r="Q175" s="4" t="s">
        <v>26</v>
      </c>
      <c r="R175" s="4">
        <v>0</v>
      </c>
      <c r="S175" s="4" t="s">
        <v>171</v>
      </c>
      <c r="T175" s="4" t="s">
        <v>332</v>
      </c>
      <c r="U175" s="4">
        <v>0</v>
      </c>
      <c r="V175" s="4">
        <v>7</v>
      </c>
      <c r="W175" s="4">
        <v>63</v>
      </c>
    </row>
    <row r="176" spans="1:23" ht="11.25" customHeight="1" x14ac:dyDescent="0.3">
      <c r="A176" s="4" t="s">
        <v>21</v>
      </c>
      <c r="B176" s="4" t="s">
        <v>22</v>
      </c>
      <c r="C176" s="4" t="s">
        <v>23</v>
      </c>
      <c r="D176" s="4" t="s">
        <v>24</v>
      </c>
      <c r="E176" s="4" t="s">
        <v>31</v>
      </c>
      <c r="F176" s="4" t="s">
        <v>25</v>
      </c>
      <c r="G176" s="4" t="s">
        <v>25</v>
      </c>
      <c r="H176" s="4" t="s">
        <v>25</v>
      </c>
      <c r="I176" s="5">
        <v>44652</v>
      </c>
      <c r="J176" s="6">
        <v>0</v>
      </c>
      <c r="K176" s="6">
        <v>0</v>
      </c>
      <c r="L176" s="6">
        <v>10.356999999999999</v>
      </c>
      <c r="M176" s="6">
        <v>10.356999999999999</v>
      </c>
      <c r="N176" s="6">
        <v>10.356999999999999</v>
      </c>
      <c r="O176" s="6">
        <v>10.356999999999999</v>
      </c>
      <c r="P176" s="6">
        <v>79</v>
      </c>
      <c r="Q176" s="4" t="s">
        <v>26</v>
      </c>
      <c r="R176" s="4">
        <v>0</v>
      </c>
      <c r="S176" s="4" t="s">
        <v>172</v>
      </c>
      <c r="T176" s="4" t="s">
        <v>333</v>
      </c>
      <c r="U176" s="4">
        <v>0</v>
      </c>
      <c r="V176" s="4">
        <v>7</v>
      </c>
      <c r="W176" s="4">
        <v>63</v>
      </c>
    </row>
    <row r="177" spans="1:23" ht="11.25" customHeight="1" x14ac:dyDescent="0.3">
      <c r="A177" s="4" t="s">
        <v>21</v>
      </c>
      <c r="B177" s="4" t="s">
        <v>22</v>
      </c>
      <c r="C177" s="4" t="s">
        <v>23</v>
      </c>
      <c r="D177" s="4" t="s">
        <v>24</v>
      </c>
      <c r="E177" s="4" t="s">
        <v>31</v>
      </c>
      <c r="F177" s="4" t="s">
        <v>25</v>
      </c>
      <c r="G177" s="4" t="s">
        <v>25</v>
      </c>
      <c r="H177" s="4" t="s">
        <v>25</v>
      </c>
      <c r="I177" s="5">
        <v>44682</v>
      </c>
      <c r="J177" s="6">
        <v>0</v>
      </c>
      <c r="K177" s="6">
        <v>0</v>
      </c>
      <c r="L177" s="6">
        <v>10.95</v>
      </c>
      <c r="M177" s="6">
        <v>10.95</v>
      </c>
      <c r="N177" s="6">
        <v>10.95</v>
      </c>
      <c r="O177" s="6">
        <v>10.95</v>
      </c>
      <c r="P177" s="6">
        <v>88</v>
      </c>
      <c r="Q177" s="4" t="s">
        <v>26</v>
      </c>
      <c r="R177" s="4">
        <v>0</v>
      </c>
      <c r="S177" s="4" t="s">
        <v>173</v>
      </c>
      <c r="T177" s="4" t="s">
        <v>334</v>
      </c>
      <c r="U177" s="4">
        <v>0</v>
      </c>
      <c r="V177" s="4">
        <v>7</v>
      </c>
      <c r="W177" s="4">
        <v>63</v>
      </c>
    </row>
    <row r="178" spans="1:23" ht="11.25" customHeight="1" x14ac:dyDescent="0.3">
      <c r="A178" s="4" t="s">
        <v>21</v>
      </c>
      <c r="B178" s="4" t="s">
        <v>22</v>
      </c>
      <c r="C178" s="4" t="s">
        <v>23</v>
      </c>
      <c r="D178" s="4" t="s">
        <v>24</v>
      </c>
      <c r="E178" s="4" t="s">
        <v>31</v>
      </c>
      <c r="F178" s="4" t="s">
        <v>25</v>
      </c>
      <c r="G178" s="4" t="s">
        <v>25</v>
      </c>
      <c r="H178" s="4" t="s">
        <v>25</v>
      </c>
      <c r="I178" s="5">
        <v>44713</v>
      </c>
      <c r="J178" s="6">
        <v>0</v>
      </c>
      <c r="K178" s="6">
        <v>0</v>
      </c>
      <c r="L178" s="6">
        <v>12.487</v>
      </c>
      <c r="M178" s="6">
        <v>12.487</v>
      </c>
      <c r="N178" s="6">
        <v>12.487</v>
      </c>
      <c r="O178" s="6">
        <v>12.487</v>
      </c>
      <c r="P178" s="6">
        <v>79</v>
      </c>
      <c r="Q178" s="4" t="s">
        <v>26</v>
      </c>
      <c r="R178" s="4">
        <v>0</v>
      </c>
      <c r="S178" s="4" t="s">
        <v>174</v>
      </c>
      <c r="T178" s="4" t="s">
        <v>335</v>
      </c>
      <c r="U178" s="4">
        <v>0</v>
      </c>
      <c r="V178" s="4">
        <v>7</v>
      </c>
      <c r="W178" s="4">
        <v>63</v>
      </c>
    </row>
    <row r="179" spans="1:23" ht="11.25" customHeight="1" x14ac:dyDescent="0.3">
      <c r="A179" s="4" t="s">
        <v>21</v>
      </c>
      <c r="B179" s="4" t="s">
        <v>22</v>
      </c>
      <c r="C179" s="4" t="s">
        <v>23</v>
      </c>
      <c r="D179" s="4" t="s">
        <v>24</v>
      </c>
      <c r="E179" s="4" t="s">
        <v>31</v>
      </c>
      <c r="F179" s="4" t="s">
        <v>25</v>
      </c>
      <c r="G179" s="4" t="s">
        <v>25</v>
      </c>
      <c r="H179" s="4" t="s">
        <v>25</v>
      </c>
      <c r="I179" s="5">
        <v>44743</v>
      </c>
      <c r="J179" s="6">
        <v>0</v>
      </c>
      <c r="K179" s="6">
        <v>0</v>
      </c>
      <c r="L179" s="6">
        <v>10.829000000000001</v>
      </c>
      <c r="M179" s="6">
        <v>10.829000000000001</v>
      </c>
      <c r="N179" s="6">
        <v>10.829000000000001</v>
      </c>
      <c r="O179" s="6">
        <v>10.829000000000001</v>
      </c>
      <c r="P179" s="6">
        <v>93</v>
      </c>
      <c r="Q179" s="4" t="s">
        <v>26</v>
      </c>
      <c r="R179" s="4">
        <v>0</v>
      </c>
      <c r="S179" s="4" t="s">
        <v>175</v>
      </c>
      <c r="T179" s="4" t="s">
        <v>336</v>
      </c>
      <c r="U179" s="4">
        <v>0</v>
      </c>
      <c r="V179" s="4">
        <v>7</v>
      </c>
      <c r="W179" s="4">
        <v>63</v>
      </c>
    </row>
    <row r="180" spans="1:23" ht="11.25" customHeight="1" x14ac:dyDescent="0.3">
      <c r="A180" s="4" t="s">
        <v>52</v>
      </c>
      <c r="B180" s="4" t="s">
        <v>22</v>
      </c>
      <c r="C180" s="4" t="s">
        <v>23</v>
      </c>
      <c r="D180" s="4" t="s">
        <v>24</v>
      </c>
      <c r="E180" s="4" t="s">
        <v>31</v>
      </c>
      <c r="F180" s="4" t="s">
        <v>25</v>
      </c>
      <c r="G180" s="4" t="s">
        <v>25</v>
      </c>
      <c r="H180" s="4" t="s">
        <v>25</v>
      </c>
      <c r="I180" s="5">
        <v>44774</v>
      </c>
      <c r="J180" s="6">
        <v>0</v>
      </c>
      <c r="K180" s="6">
        <v>0</v>
      </c>
      <c r="L180" s="6">
        <v>10.829000000000001</v>
      </c>
      <c r="M180" s="6">
        <v>10.829000000000001</v>
      </c>
      <c r="N180" s="6">
        <v>10.829000000000001</v>
      </c>
      <c r="O180" s="6">
        <v>10.829000000000001</v>
      </c>
      <c r="P180" s="6">
        <v>93</v>
      </c>
      <c r="Q180" s="4" t="s">
        <v>26</v>
      </c>
      <c r="R180" s="4">
        <v>0</v>
      </c>
      <c r="S180" s="4" t="s">
        <v>176</v>
      </c>
      <c r="T180" s="4" t="s">
        <v>337</v>
      </c>
      <c r="U180" s="4">
        <v>0</v>
      </c>
      <c r="V180" s="4">
        <v>7</v>
      </c>
      <c r="W180" s="4">
        <v>63</v>
      </c>
    </row>
    <row r="181" spans="1:23" ht="11.25" customHeight="1" x14ac:dyDescent="0.3">
      <c r="A181" s="4" t="s">
        <v>21</v>
      </c>
      <c r="B181" s="4" t="s">
        <v>22</v>
      </c>
      <c r="C181" s="4" t="s">
        <v>23</v>
      </c>
      <c r="D181" s="4" t="s">
        <v>24</v>
      </c>
      <c r="E181" s="4" t="s">
        <v>32</v>
      </c>
      <c r="F181" s="4" t="s">
        <v>25</v>
      </c>
      <c r="G181" s="4" t="s">
        <v>25</v>
      </c>
      <c r="H181" s="4" t="s">
        <v>25</v>
      </c>
      <c r="I181" s="5">
        <v>44440</v>
      </c>
      <c r="J181" s="6">
        <v>0</v>
      </c>
      <c r="K181" s="6">
        <v>0</v>
      </c>
      <c r="L181" s="6">
        <v>1.62</v>
      </c>
      <c r="M181" s="6">
        <v>1.62</v>
      </c>
      <c r="N181" s="6">
        <v>1.62</v>
      </c>
      <c r="O181" s="6">
        <v>1.62</v>
      </c>
      <c r="P181" s="6">
        <v>26</v>
      </c>
      <c r="Q181" s="4" t="s">
        <v>26</v>
      </c>
      <c r="R181" s="4">
        <v>0</v>
      </c>
      <c r="S181" s="4" t="s">
        <v>177</v>
      </c>
      <c r="T181" s="4" t="s">
        <v>338</v>
      </c>
      <c r="U181" s="4">
        <v>0</v>
      </c>
      <c r="V181" s="4">
        <v>35</v>
      </c>
      <c r="W181" s="4">
        <v>79</v>
      </c>
    </row>
    <row r="182" spans="1:23" ht="11.25" customHeight="1" x14ac:dyDescent="0.3">
      <c r="A182" s="4" t="s">
        <v>21</v>
      </c>
      <c r="B182" s="4" t="s">
        <v>22</v>
      </c>
      <c r="C182" s="4" t="s">
        <v>23</v>
      </c>
      <c r="D182" s="4" t="s">
        <v>24</v>
      </c>
      <c r="E182" s="4" t="s">
        <v>32</v>
      </c>
      <c r="F182" s="4" t="s">
        <v>25</v>
      </c>
      <c r="G182" s="4" t="s">
        <v>25</v>
      </c>
      <c r="H182" s="4" t="s">
        <v>25</v>
      </c>
      <c r="I182" s="5">
        <v>44470</v>
      </c>
      <c r="J182" s="6">
        <v>0</v>
      </c>
      <c r="K182" s="6">
        <v>0</v>
      </c>
      <c r="L182" s="6">
        <v>2.931</v>
      </c>
      <c r="M182" s="6">
        <v>2.931</v>
      </c>
      <c r="N182" s="6">
        <v>2.931</v>
      </c>
      <c r="O182" s="6">
        <v>2.931</v>
      </c>
      <c r="P182" s="6">
        <v>38</v>
      </c>
      <c r="Q182" s="4" t="s">
        <v>26</v>
      </c>
      <c r="R182" s="4">
        <v>0</v>
      </c>
      <c r="S182" s="4" t="s">
        <v>178</v>
      </c>
      <c r="T182" s="4" t="s">
        <v>339</v>
      </c>
      <c r="U182" s="4">
        <v>0</v>
      </c>
      <c r="V182" s="4">
        <v>35</v>
      </c>
      <c r="W182" s="4">
        <v>79</v>
      </c>
    </row>
    <row r="183" spans="1:23" ht="11.25" customHeight="1" x14ac:dyDescent="0.3">
      <c r="A183" s="4" t="s">
        <v>21</v>
      </c>
      <c r="B183" s="4" t="s">
        <v>22</v>
      </c>
      <c r="C183" s="4" t="s">
        <v>23</v>
      </c>
      <c r="D183" s="4" t="s">
        <v>24</v>
      </c>
      <c r="E183" s="4" t="s">
        <v>32</v>
      </c>
      <c r="F183" s="4" t="s">
        <v>25</v>
      </c>
      <c r="G183" s="4" t="s">
        <v>25</v>
      </c>
      <c r="H183" s="4" t="s">
        <v>25</v>
      </c>
      <c r="I183" s="5">
        <v>44501</v>
      </c>
      <c r="J183" s="6">
        <v>0</v>
      </c>
      <c r="K183" s="6">
        <v>0</v>
      </c>
      <c r="L183" s="6">
        <v>2.2109999999999999</v>
      </c>
      <c r="M183" s="6">
        <v>2.2109999999999999</v>
      </c>
      <c r="N183" s="6">
        <v>2.2109999999999999</v>
      </c>
      <c r="O183" s="6">
        <v>2.2109999999999999</v>
      </c>
      <c r="P183" s="6">
        <v>31</v>
      </c>
      <c r="Q183" s="4" t="s">
        <v>26</v>
      </c>
      <c r="R183" s="4">
        <v>0</v>
      </c>
      <c r="S183" s="4" t="s">
        <v>179</v>
      </c>
      <c r="T183" s="4" t="s">
        <v>340</v>
      </c>
      <c r="U183" s="4">
        <v>0</v>
      </c>
      <c r="V183" s="4">
        <v>35</v>
      </c>
      <c r="W183" s="4">
        <v>79</v>
      </c>
    </row>
    <row r="184" spans="1:23" ht="11.25" customHeight="1" x14ac:dyDescent="0.3">
      <c r="A184" s="4" t="s">
        <v>21</v>
      </c>
      <c r="B184" s="4" t="s">
        <v>22</v>
      </c>
      <c r="C184" s="4" t="s">
        <v>23</v>
      </c>
      <c r="D184" s="4" t="s">
        <v>24</v>
      </c>
      <c r="E184" s="4" t="s">
        <v>32</v>
      </c>
      <c r="F184" s="4" t="s">
        <v>25</v>
      </c>
      <c r="G184" s="4" t="s">
        <v>25</v>
      </c>
      <c r="H184" s="4" t="s">
        <v>25</v>
      </c>
      <c r="I184" s="5">
        <v>44531</v>
      </c>
      <c r="J184" s="6">
        <v>0</v>
      </c>
      <c r="K184" s="6">
        <v>0</v>
      </c>
      <c r="L184" s="6">
        <v>2.2970000000000002</v>
      </c>
      <c r="M184" s="6">
        <v>2.2970000000000002</v>
      </c>
      <c r="N184" s="6">
        <v>2.2970000000000002</v>
      </c>
      <c r="O184" s="6">
        <v>2.2970000000000002</v>
      </c>
      <c r="P184" s="6">
        <v>34</v>
      </c>
      <c r="Q184" s="4" t="s">
        <v>26</v>
      </c>
      <c r="R184" s="4">
        <v>0</v>
      </c>
      <c r="S184" s="4" t="s">
        <v>180</v>
      </c>
      <c r="T184" s="4" t="s">
        <v>341</v>
      </c>
      <c r="U184" s="4">
        <v>0</v>
      </c>
      <c r="V184" s="4">
        <v>35</v>
      </c>
      <c r="W184" s="4">
        <v>79</v>
      </c>
    </row>
    <row r="185" spans="1:23" ht="11.25" customHeight="1" x14ac:dyDescent="0.3">
      <c r="A185" s="4" t="s">
        <v>21</v>
      </c>
      <c r="B185" s="4" t="s">
        <v>22</v>
      </c>
      <c r="C185" s="4" t="s">
        <v>23</v>
      </c>
      <c r="D185" s="4" t="s">
        <v>24</v>
      </c>
      <c r="E185" s="4" t="s">
        <v>32</v>
      </c>
      <c r="F185" s="4" t="s">
        <v>25</v>
      </c>
      <c r="G185" s="4" t="s">
        <v>25</v>
      </c>
      <c r="H185" s="4" t="s">
        <v>25</v>
      </c>
      <c r="I185" s="5">
        <v>44562</v>
      </c>
      <c r="J185" s="6">
        <v>0</v>
      </c>
      <c r="K185" s="6">
        <v>0</v>
      </c>
      <c r="L185" s="6">
        <v>4.3019999999999996</v>
      </c>
      <c r="M185" s="6">
        <v>4.3019999999999996</v>
      </c>
      <c r="N185" s="6">
        <v>4.3019999999999996</v>
      </c>
      <c r="O185" s="6">
        <v>4.3019999999999996</v>
      </c>
      <c r="P185" s="6">
        <v>48</v>
      </c>
      <c r="Q185" s="4" t="s">
        <v>26</v>
      </c>
      <c r="R185" s="4">
        <v>0</v>
      </c>
      <c r="S185" s="4" t="s">
        <v>181</v>
      </c>
      <c r="T185" s="4" t="s">
        <v>342</v>
      </c>
      <c r="U185" s="4">
        <v>0</v>
      </c>
      <c r="V185" s="4">
        <v>35</v>
      </c>
      <c r="W185" s="4">
        <v>79</v>
      </c>
    </row>
    <row r="186" spans="1:23" ht="11.25" customHeight="1" x14ac:dyDescent="0.3">
      <c r="A186" s="4" t="s">
        <v>21</v>
      </c>
      <c r="B186" s="4" t="s">
        <v>22</v>
      </c>
      <c r="C186" s="4" t="s">
        <v>23</v>
      </c>
      <c r="D186" s="4" t="s">
        <v>24</v>
      </c>
      <c r="E186" s="4" t="s">
        <v>32</v>
      </c>
      <c r="F186" s="4" t="s">
        <v>25</v>
      </c>
      <c r="G186" s="4" t="s">
        <v>25</v>
      </c>
      <c r="H186" s="4" t="s">
        <v>25</v>
      </c>
      <c r="I186" s="5">
        <v>44593</v>
      </c>
      <c r="J186" s="6">
        <v>0</v>
      </c>
      <c r="K186" s="6">
        <v>0</v>
      </c>
      <c r="L186" s="6">
        <v>7.4379999999999997</v>
      </c>
      <c r="M186" s="6">
        <v>7.4379999999999997</v>
      </c>
      <c r="N186" s="6">
        <v>7.4379999999999997</v>
      </c>
      <c r="O186" s="6">
        <v>7.4379999999999997</v>
      </c>
      <c r="P186" s="6">
        <v>58</v>
      </c>
      <c r="Q186" s="4" t="s">
        <v>26</v>
      </c>
      <c r="R186" s="4">
        <v>0</v>
      </c>
      <c r="S186" s="4" t="s">
        <v>182</v>
      </c>
      <c r="T186" s="4" t="s">
        <v>343</v>
      </c>
      <c r="U186" s="4">
        <v>0</v>
      </c>
      <c r="V186" s="4">
        <v>35</v>
      </c>
      <c r="W186" s="4">
        <v>79</v>
      </c>
    </row>
    <row r="187" spans="1:23" ht="11.25" customHeight="1" x14ac:dyDescent="0.3">
      <c r="A187" s="4" t="s">
        <v>21</v>
      </c>
      <c r="B187" s="4" t="s">
        <v>22</v>
      </c>
      <c r="C187" s="4" t="s">
        <v>23</v>
      </c>
      <c r="D187" s="4" t="s">
        <v>24</v>
      </c>
      <c r="E187" s="4" t="s">
        <v>32</v>
      </c>
      <c r="F187" s="4" t="s">
        <v>25</v>
      </c>
      <c r="G187" s="4" t="s">
        <v>25</v>
      </c>
      <c r="H187" s="4" t="s">
        <v>25</v>
      </c>
      <c r="I187" s="5">
        <v>44621</v>
      </c>
      <c r="J187" s="6">
        <v>0</v>
      </c>
      <c r="K187" s="6">
        <v>0</v>
      </c>
      <c r="L187" s="6">
        <v>5.5119999999999996</v>
      </c>
      <c r="M187" s="6">
        <v>5.5119999999999996</v>
      </c>
      <c r="N187" s="6">
        <v>5.5119999999999996</v>
      </c>
      <c r="O187" s="6">
        <v>5.5119999999999996</v>
      </c>
      <c r="P187" s="6">
        <v>51</v>
      </c>
      <c r="Q187" s="4" t="s">
        <v>26</v>
      </c>
      <c r="R187" s="4">
        <v>0</v>
      </c>
      <c r="S187" s="4" t="s">
        <v>183</v>
      </c>
      <c r="T187" s="4" t="s">
        <v>344</v>
      </c>
      <c r="U187" s="4">
        <v>0</v>
      </c>
      <c r="V187" s="4">
        <v>35</v>
      </c>
      <c r="W187" s="4">
        <v>79</v>
      </c>
    </row>
    <row r="188" spans="1:23" ht="11.25" customHeight="1" x14ac:dyDescent="0.3">
      <c r="A188" s="4" t="s">
        <v>21</v>
      </c>
      <c r="B188" s="4" t="s">
        <v>22</v>
      </c>
      <c r="C188" s="4" t="s">
        <v>23</v>
      </c>
      <c r="D188" s="4" t="s">
        <v>24</v>
      </c>
      <c r="E188" s="4" t="s">
        <v>32</v>
      </c>
      <c r="F188" s="4" t="s">
        <v>25</v>
      </c>
      <c r="G188" s="4" t="s">
        <v>25</v>
      </c>
      <c r="H188" s="4" t="s">
        <v>25</v>
      </c>
      <c r="I188" s="5">
        <v>44652</v>
      </c>
      <c r="J188" s="6">
        <v>0</v>
      </c>
      <c r="K188" s="6">
        <v>0</v>
      </c>
      <c r="L188" s="6">
        <v>3.56</v>
      </c>
      <c r="M188" s="6">
        <v>3.56</v>
      </c>
      <c r="N188" s="6">
        <v>3.56</v>
      </c>
      <c r="O188" s="6">
        <v>3.56</v>
      </c>
      <c r="P188" s="6">
        <v>49</v>
      </c>
      <c r="Q188" s="4" t="s">
        <v>26</v>
      </c>
      <c r="R188" s="4">
        <v>0</v>
      </c>
      <c r="S188" s="4" t="s">
        <v>184</v>
      </c>
      <c r="T188" s="4" t="s">
        <v>345</v>
      </c>
      <c r="U188" s="4">
        <v>0</v>
      </c>
      <c r="V188" s="4">
        <v>35</v>
      </c>
      <c r="W188" s="4">
        <v>79</v>
      </c>
    </row>
    <row r="189" spans="1:23" ht="11.25" customHeight="1" x14ac:dyDescent="0.3">
      <c r="A189" s="4" t="s">
        <v>21</v>
      </c>
      <c r="B189" s="4" t="s">
        <v>22</v>
      </c>
      <c r="C189" s="4" t="s">
        <v>23</v>
      </c>
      <c r="D189" s="4" t="s">
        <v>24</v>
      </c>
      <c r="E189" s="4" t="s">
        <v>32</v>
      </c>
      <c r="F189" s="4" t="s">
        <v>25</v>
      </c>
      <c r="G189" s="4" t="s">
        <v>25</v>
      </c>
      <c r="H189" s="4" t="s">
        <v>25</v>
      </c>
      <c r="I189" s="5">
        <v>44682</v>
      </c>
      <c r="J189" s="6">
        <v>0</v>
      </c>
      <c r="K189" s="6">
        <v>0</v>
      </c>
      <c r="L189" s="6">
        <v>2.9620000000000002</v>
      </c>
      <c r="M189" s="6">
        <v>2.9620000000000002</v>
      </c>
      <c r="N189" s="6">
        <v>2.9620000000000002</v>
      </c>
      <c r="O189" s="6">
        <v>2.9620000000000002</v>
      </c>
      <c r="P189" s="6">
        <v>51</v>
      </c>
      <c r="Q189" s="4" t="s">
        <v>26</v>
      </c>
      <c r="R189" s="4">
        <v>0</v>
      </c>
      <c r="S189" s="4" t="s">
        <v>185</v>
      </c>
      <c r="T189" s="4" t="s">
        <v>346</v>
      </c>
      <c r="U189" s="4">
        <v>0</v>
      </c>
      <c r="V189" s="4">
        <v>35</v>
      </c>
      <c r="W189" s="4">
        <v>79</v>
      </c>
    </row>
    <row r="190" spans="1:23" ht="11.25" customHeight="1" x14ac:dyDescent="0.3">
      <c r="A190" s="4" t="s">
        <v>21</v>
      </c>
      <c r="B190" s="4" t="s">
        <v>22</v>
      </c>
      <c r="C190" s="4" t="s">
        <v>23</v>
      </c>
      <c r="D190" s="4" t="s">
        <v>24</v>
      </c>
      <c r="E190" s="4" t="s">
        <v>32</v>
      </c>
      <c r="F190" s="4" t="s">
        <v>25</v>
      </c>
      <c r="G190" s="4" t="s">
        <v>25</v>
      </c>
      <c r="H190" s="4" t="s">
        <v>25</v>
      </c>
      <c r="I190" s="5">
        <v>44713</v>
      </c>
      <c r="J190" s="6">
        <v>0</v>
      </c>
      <c r="K190" s="6">
        <v>0</v>
      </c>
      <c r="L190" s="6">
        <v>6.2949999999999999</v>
      </c>
      <c r="M190" s="6">
        <v>6.2949999999999999</v>
      </c>
      <c r="N190" s="6">
        <v>6.2949999999999999</v>
      </c>
      <c r="O190" s="6">
        <v>6.2949999999999999</v>
      </c>
      <c r="P190" s="6">
        <v>65</v>
      </c>
      <c r="Q190" s="4" t="s">
        <v>26</v>
      </c>
      <c r="R190" s="4">
        <v>0</v>
      </c>
      <c r="S190" s="4" t="s">
        <v>186</v>
      </c>
      <c r="T190" s="4" t="s">
        <v>347</v>
      </c>
      <c r="U190" s="4">
        <v>0</v>
      </c>
      <c r="V190" s="4">
        <v>35</v>
      </c>
      <c r="W190" s="4">
        <v>79</v>
      </c>
    </row>
    <row r="191" spans="1:23" ht="11.25" customHeight="1" x14ac:dyDescent="0.3">
      <c r="A191" s="4" t="s">
        <v>21</v>
      </c>
      <c r="B191" s="4" t="s">
        <v>22</v>
      </c>
      <c r="C191" s="4" t="s">
        <v>23</v>
      </c>
      <c r="D191" s="4" t="s">
        <v>24</v>
      </c>
      <c r="E191" s="4" t="s">
        <v>32</v>
      </c>
      <c r="F191" s="4" t="s">
        <v>25</v>
      </c>
      <c r="G191" s="4" t="s">
        <v>25</v>
      </c>
      <c r="H191" s="4" t="s">
        <v>25</v>
      </c>
      <c r="I191" s="5">
        <v>44743</v>
      </c>
      <c r="J191" s="6">
        <v>0</v>
      </c>
      <c r="K191" s="6">
        <v>0</v>
      </c>
      <c r="L191" s="6">
        <v>3.0920000000000001</v>
      </c>
      <c r="M191" s="6">
        <v>3.0920000000000001</v>
      </c>
      <c r="N191" s="6">
        <v>3.0920000000000001</v>
      </c>
      <c r="O191" s="6">
        <v>3.0920000000000001</v>
      </c>
      <c r="P191" s="6">
        <v>47</v>
      </c>
      <c r="Q191" s="4" t="s">
        <v>26</v>
      </c>
      <c r="R191" s="4">
        <v>0</v>
      </c>
      <c r="S191" s="4" t="s">
        <v>187</v>
      </c>
      <c r="T191" s="4" t="s">
        <v>348</v>
      </c>
      <c r="U191" s="4">
        <v>0</v>
      </c>
      <c r="V191" s="4">
        <v>35</v>
      </c>
      <c r="W191" s="4">
        <v>79</v>
      </c>
    </row>
    <row r="192" spans="1:23" ht="11.25" customHeight="1" x14ac:dyDescent="0.3">
      <c r="A192" s="4" t="s">
        <v>52</v>
      </c>
      <c r="B192" s="4" t="s">
        <v>22</v>
      </c>
      <c r="C192" s="4" t="s">
        <v>23</v>
      </c>
      <c r="D192" s="4" t="s">
        <v>24</v>
      </c>
      <c r="E192" s="4" t="s">
        <v>32</v>
      </c>
      <c r="F192" s="4" t="s">
        <v>25</v>
      </c>
      <c r="G192" s="4" t="s">
        <v>25</v>
      </c>
      <c r="H192" s="4" t="s">
        <v>25</v>
      </c>
      <c r="I192" s="5">
        <v>44774</v>
      </c>
      <c r="J192" s="6">
        <v>0</v>
      </c>
      <c r="K192" s="6">
        <v>0</v>
      </c>
      <c r="L192" s="6">
        <v>3.0920000000000001</v>
      </c>
      <c r="M192" s="6">
        <v>3.0920000000000001</v>
      </c>
      <c r="N192" s="6">
        <v>3.0920000000000001</v>
      </c>
      <c r="O192" s="6">
        <v>3.0920000000000001</v>
      </c>
      <c r="P192" s="6">
        <v>47</v>
      </c>
      <c r="Q192" s="4" t="s">
        <v>26</v>
      </c>
      <c r="R192" s="4">
        <v>0</v>
      </c>
      <c r="S192" s="4" t="s">
        <v>188</v>
      </c>
      <c r="T192" s="4" t="s">
        <v>349</v>
      </c>
      <c r="U192" s="4">
        <v>0</v>
      </c>
      <c r="V192" s="4">
        <v>35</v>
      </c>
      <c r="W192" s="4">
        <v>79</v>
      </c>
    </row>
    <row r="193" spans="1:23" ht="11.25" customHeight="1" x14ac:dyDescent="0.3">
      <c r="A193" s="4" t="s">
        <v>21</v>
      </c>
      <c r="B193" s="4" t="s">
        <v>42</v>
      </c>
      <c r="C193" s="4" t="s">
        <v>23</v>
      </c>
      <c r="D193" s="4" t="s">
        <v>43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44440</v>
      </c>
      <c r="J193" s="6">
        <v>0</v>
      </c>
      <c r="K193" s="6">
        <v>0</v>
      </c>
      <c r="L193" s="6">
        <v>236.78899999999999</v>
      </c>
      <c r="M193" s="6">
        <v>236.78899999999999</v>
      </c>
      <c r="N193" s="6">
        <v>236.78899999999999</v>
      </c>
      <c r="O193" s="6">
        <v>236.78899999999999</v>
      </c>
      <c r="P193" s="6">
        <v>716</v>
      </c>
      <c r="Q193" s="4" t="s">
        <v>26</v>
      </c>
      <c r="R193" s="4">
        <v>0</v>
      </c>
      <c r="S193" s="4" t="s">
        <v>189</v>
      </c>
      <c r="T193" s="4" t="s">
        <v>350</v>
      </c>
      <c r="U193" s="4">
        <v>0</v>
      </c>
      <c r="V193" s="4">
        <v>49</v>
      </c>
      <c r="W193" s="4">
        <v>59</v>
      </c>
    </row>
    <row r="194" spans="1:23" ht="11.25" customHeight="1" x14ac:dyDescent="0.3">
      <c r="A194" s="4" t="s">
        <v>28</v>
      </c>
      <c r="B194" s="4" t="s">
        <v>42</v>
      </c>
      <c r="C194" s="4" t="s">
        <v>23</v>
      </c>
      <c r="D194" s="4" t="s">
        <v>43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44440</v>
      </c>
      <c r="J194" s="6">
        <v>0</v>
      </c>
      <c r="K194" s="6">
        <v>0</v>
      </c>
      <c r="L194" s="6">
        <v>19.481999999999999</v>
      </c>
      <c r="M194" s="6">
        <v>19.481999999999999</v>
      </c>
      <c r="N194" s="6">
        <v>19.481999999999999</v>
      </c>
      <c r="O194" s="6">
        <v>19.481999999999999</v>
      </c>
      <c r="P194" s="6">
        <v>10</v>
      </c>
      <c r="Q194" s="4" t="s">
        <v>26</v>
      </c>
      <c r="R194" s="4">
        <v>0</v>
      </c>
      <c r="S194" s="4" t="s">
        <v>189</v>
      </c>
      <c r="T194" s="4" t="s">
        <v>350</v>
      </c>
      <c r="U194" s="4">
        <v>0</v>
      </c>
      <c r="V194" s="4">
        <v>49</v>
      </c>
      <c r="W194" s="4">
        <v>59</v>
      </c>
    </row>
    <row r="195" spans="1:23" ht="11.25" customHeight="1" x14ac:dyDescent="0.3">
      <c r="A195" s="4" t="s">
        <v>21</v>
      </c>
      <c r="B195" s="4" t="s">
        <v>42</v>
      </c>
      <c r="C195" s="4" t="s">
        <v>23</v>
      </c>
      <c r="D195" s="4" t="s">
        <v>43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44470</v>
      </c>
      <c r="J195" s="6">
        <v>0</v>
      </c>
      <c r="K195" s="6">
        <v>0</v>
      </c>
      <c r="L195" s="6">
        <v>293.82499999999999</v>
      </c>
      <c r="M195" s="6">
        <v>293.82499999999999</v>
      </c>
      <c r="N195" s="6">
        <v>293.82499999999999</v>
      </c>
      <c r="O195" s="6">
        <v>293.82499999999999</v>
      </c>
      <c r="P195" s="6">
        <v>711</v>
      </c>
      <c r="Q195" s="4" t="s">
        <v>26</v>
      </c>
      <c r="R195" s="4">
        <v>0</v>
      </c>
      <c r="S195" s="4" t="s">
        <v>190</v>
      </c>
      <c r="T195" s="4" t="s">
        <v>351</v>
      </c>
      <c r="U195" s="4">
        <v>0</v>
      </c>
      <c r="V195" s="4">
        <v>49</v>
      </c>
      <c r="W195" s="4">
        <v>59</v>
      </c>
    </row>
    <row r="196" spans="1:23" ht="11.25" customHeight="1" x14ac:dyDescent="0.3">
      <c r="A196" s="4" t="s">
        <v>27</v>
      </c>
      <c r="B196" s="4" t="s">
        <v>42</v>
      </c>
      <c r="C196" s="4" t="s">
        <v>23</v>
      </c>
      <c r="D196" s="4" t="s">
        <v>43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44470</v>
      </c>
      <c r="J196" s="6">
        <v>0</v>
      </c>
      <c r="K196" s="6">
        <v>0</v>
      </c>
      <c r="L196" s="6">
        <v>-19.876000000000001</v>
      </c>
      <c r="M196" s="6">
        <v>-19.876000000000001</v>
      </c>
      <c r="N196" s="6">
        <v>-19.876000000000001</v>
      </c>
      <c r="O196" s="6">
        <v>-19.876000000000001</v>
      </c>
      <c r="P196" s="6">
        <v>0</v>
      </c>
      <c r="Q196" s="4" t="s">
        <v>26</v>
      </c>
      <c r="R196" s="4">
        <v>0</v>
      </c>
      <c r="S196" s="4" t="s">
        <v>190</v>
      </c>
      <c r="T196" s="4" t="s">
        <v>351</v>
      </c>
      <c r="U196" s="4">
        <v>0</v>
      </c>
      <c r="V196" s="4">
        <v>49</v>
      </c>
      <c r="W196" s="4">
        <v>59</v>
      </c>
    </row>
    <row r="197" spans="1:23" ht="11.25" customHeight="1" x14ac:dyDescent="0.3">
      <c r="A197" s="4" t="s">
        <v>28</v>
      </c>
      <c r="B197" s="4" t="s">
        <v>42</v>
      </c>
      <c r="C197" s="4" t="s">
        <v>23</v>
      </c>
      <c r="D197" s="4" t="s">
        <v>43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44470</v>
      </c>
      <c r="J197" s="6">
        <v>0</v>
      </c>
      <c r="K197" s="6">
        <v>0</v>
      </c>
      <c r="L197" s="6">
        <v>16.452999999999999</v>
      </c>
      <c r="M197" s="6">
        <v>16.452999999999999</v>
      </c>
      <c r="N197" s="6">
        <v>16.452999999999999</v>
      </c>
      <c r="O197" s="6">
        <v>16.452999999999999</v>
      </c>
      <c r="P197" s="6">
        <v>12</v>
      </c>
      <c r="Q197" s="4" t="s">
        <v>26</v>
      </c>
      <c r="R197" s="4">
        <v>0</v>
      </c>
      <c r="S197" s="4" t="s">
        <v>190</v>
      </c>
      <c r="T197" s="4" t="s">
        <v>351</v>
      </c>
      <c r="U197" s="4">
        <v>0</v>
      </c>
      <c r="V197" s="4">
        <v>49</v>
      </c>
      <c r="W197" s="4">
        <v>59</v>
      </c>
    </row>
    <row r="198" spans="1:23" ht="11.25" customHeight="1" x14ac:dyDescent="0.3">
      <c r="A198" s="4" t="s">
        <v>21</v>
      </c>
      <c r="B198" s="4" t="s">
        <v>42</v>
      </c>
      <c r="C198" s="4" t="s">
        <v>23</v>
      </c>
      <c r="D198" s="4" t="s">
        <v>43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44501</v>
      </c>
      <c r="J198" s="6">
        <v>0</v>
      </c>
      <c r="K198" s="6">
        <v>0</v>
      </c>
      <c r="L198" s="6">
        <v>265.36500000000001</v>
      </c>
      <c r="M198" s="6">
        <v>265.36500000000001</v>
      </c>
      <c r="N198" s="6">
        <v>265.36500000000001</v>
      </c>
      <c r="O198" s="6">
        <v>265.36500000000001</v>
      </c>
      <c r="P198" s="6">
        <v>712</v>
      </c>
      <c r="Q198" s="4" t="s">
        <v>26</v>
      </c>
      <c r="R198" s="4">
        <v>0</v>
      </c>
      <c r="S198" s="4" t="s">
        <v>191</v>
      </c>
      <c r="T198" s="4" t="s">
        <v>352</v>
      </c>
      <c r="U198" s="4">
        <v>0</v>
      </c>
      <c r="V198" s="4">
        <v>49</v>
      </c>
      <c r="W198" s="4">
        <v>59</v>
      </c>
    </row>
    <row r="199" spans="1:23" ht="11.25" customHeight="1" x14ac:dyDescent="0.3">
      <c r="A199" s="4" t="s">
        <v>21</v>
      </c>
      <c r="B199" s="4" t="s">
        <v>42</v>
      </c>
      <c r="C199" s="4" t="s">
        <v>23</v>
      </c>
      <c r="D199" s="4" t="s">
        <v>43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44531</v>
      </c>
      <c r="J199" s="6">
        <v>0</v>
      </c>
      <c r="K199" s="6">
        <v>0</v>
      </c>
      <c r="L199" s="6">
        <v>251.61</v>
      </c>
      <c r="M199" s="6">
        <v>251.61</v>
      </c>
      <c r="N199" s="6">
        <v>251.61</v>
      </c>
      <c r="O199" s="6">
        <v>251.61</v>
      </c>
      <c r="P199" s="6">
        <v>711</v>
      </c>
      <c r="Q199" s="4" t="s">
        <v>26</v>
      </c>
      <c r="R199" s="4">
        <v>0</v>
      </c>
      <c r="S199" s="4" t="s">
        <v>192</v>
      </c>
      <c r="T199" s="4" t="s">
        <v>353</v>
      </c>
      <c r="U199" s="4">
        <v>0</v>
      </c>
      <c r="V199" s="4">
        <v>49</v>
      </c>
      <c r="W199" s="4">
        <v>59</v>
      </c>
    </row>
    <row r="200" spans="1:23" ht="11.25" customHeight="1" x14ac:dyDescent="0.3">
      <c r="A200" s="4" t="s">
        <v>28</v>
      </c>
      <c r="B200" s="4" t="s">
        <v>42</v>
      </c>
      <c r="C200" s="4" t="s">
        <v>23</v>
      </c>
      <c r="D200" s="4" t="s">
        <v>43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44531</v>
      </c>
      <c r="J200" s="6">
        <v>0</v>
      </c>
      <c r="K200" s="6">
        <v>0</v>
      </c>
      <c r="L200" s="6">
        <v>10.541</v>
      </c>
      <c r="M200" s="6">
        <v>10.541</v>
      </c>
      <c r="N200" s="6">
        <v>10.541</v>
      </c>
      <c r="O200" s="6">
        <v>10.541</v>
      </c>
      <c r="P200" s="6">
        <v>12</v>
      </c>
      <c r="Q200" s="4" t="s">
        <v>26</v>
      </c>
      <c r="R200" s="4">
        <v>0</v>
      </c>
      <c r="S200" s="4" t="s">
        <v>192</v>
      </c>
      <c r="T200" s="4" t="s">
        <v>353</v>
      </c>
      <c r="U200" s="4">
        <v>0</v>
      </c>
      <c r="V200" s="4">
        <v>49</v>
      </c>
      <c r="W200" s="4">
        <v>59</v>
      </c>
    </row>
    <row r="201" spans="1:23" ht="11.25" customHeight="1" x14ac:dyDescent="0.3">
      <c r="A201" s="4" t="s">
        <v>21</v>
      </c>
      <c r="B201" s="4" t="s">
        <v>42</v>
      </c>
      <c r="C201" s="4" t="s">
        <v>23</v>
      </c>
      <c r="D201" s="4" t="s">
        <v>43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44562</v>
      </c>
      <c r="J201" s="6">
        <v>0</v>
      </c>
      <c r="K201" s="6">
        <v>0</v>
      </c>
      <c r="L201" s="6">
        <v>293.61200000000002</v>
      </c>
      <c r="M201" s="6">
        <v>293.61200000000002</v>
      </c>
      <c r="N201" s="6">
        <v>293.61200000000002</v>
      </c>
      <c r="O201" s="6">
        <v>293.61200000000002</v>
      </c>
      <c r="P201" s="6">
        <v>708</v>
      </c>
      <c r="Q201" s="4" t="s">
        <v>26</v>
      </c>
      <c r="R201" s="4">
        <v>0</v>
      </c>
      <c r="S201" s="4" t="s">
        <v>193</v>
      </c>
      <c r="T201" s="4" t="s">
        <v>354</v>
      </c>
      <c r="U201" s="4">
        <v>0</v>
      </c>
      <c r="V201" s="4">
        <v>49</v>
      </c>
      <c r="W201" s="4">
        <v>59</v>
      </c>
    </row>
    <row r="202" spans="1:23" ht="11.25" customHeight="1" x14ac:dyDescent="0.3">
      <c r="A202" s="4" t="s">
        <v>28</v>
      </c>
      <c r="B202" s="4" t="s">
        <v>42</v>
      </c>
      <c r="C202" s="4" t="s">
        <v>23</v>
      </c>
      <c r="D202" s="4" t="s">
        <v>43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44562</v>
      </c>
      <c r="J202" s="6">
        <v>0</v>
      </c>
      <c r="K202" s="6">
        <v>0</v>
      </c>
      <c r="L202" s="6">
        <v>22.734999999999999</v>
      </c>
      <c r="M202" s="6">
        <v>22.734999999999999</v>
      </c>
      <c r="N202" s="6">
        <v>22.734999999999999</v>
      </c>
      <c r="O202" s="6">
        <v>22.734999999999999</v>
      </c>
      <c r="P202" s="6">
        <v>13</v>
      </c>
      <c r="Q202" s="4" t="s">
        <v>26</v>
      </c>
      <c r="R202" s="4">
        <v>0</v>
      </c>
      <c r="S202" s="4" t="s">
        <v>193</v>
      </c>
      <c r="T202" s="4" t="s">
        <v>354</v>
      </c>
      <c r="U202" s="4">
        <v>0</v>
      </c>
      <c r="V202" s="4">
        <v>49</v>
      </c>
      <c r="W202" s="4">
        <v>59</v>
      </c>
    </row>
    <row r="203" spans="1:23" ht="11.25" customHeight="1" x14ac:dyDescent="0.3">
      <c r="A203" s="4" t="s">
        <v>21</v>
      </c>
      <c r="B203" s="4" t="s">
        <v>42</v>
      </c>
      <c r="C203" s="4" t="s">
        <v>23</v>
      </c>
      <c r="D203" s="4" t="s">
        <v>43</v>
      </c>
      <c r="E203" s="4" t="s">
        <v>25</v>
      </c>
      <c r="F203" s="4" t="s">
        <v>25</v>
      </c>
      <c r="G203" s="4" t="s">
        <v>25</v>
      </c>
      <c r="H203" s="4" t="s">
        <v>25</v>
      </c>
      <c r="I203" s="5">
        <v>44593</v>
      </c>
      <c r="J203" s="6">
        <v>0</v>
      </c>
      <c r="K203" s="6">
        <v>0</v>
      </c>
      <c r="L203" s="6">
        <v>325.15499999999997</v>
      </c>
      <c r="M203" s="6">
        <v>325.15499999999997</v>
      </c>
      <c r="N203" s="6">
        <v>325.15499999999997</v>
      </c>
      <c r="O203" s="6">
        <v>325.15499999999997</v>
      </c>
      <c r="P203" s="6">
        <v>707</v>
      </c>
      <c r="Q203" s="4" t="s">
        <v>26</v>
      </c>
      <c r="R203" s="4">
        <v>0</v>
      </c>
      <c r="S203" s="4" t="s">
        <v>194</v>
      </c>
      <c r="T203" s="4" t="s">
        <v>355</v>
      </c>
      <c r="U203" s="4">
        <v>0</v>
      </c>
      <c r="V203" s="4">
        <v>49</v>
      </c>
      <c r="W203" s="4">
        <v>59</v>
      </c>
    </row>
    <row r="204" spans="1:23" ht="11.25" customHeight="1" x14ac:dyDescent="0.3">
      <c r="A204" s="4" t="s">
        <v>27</v>
      </c>
      <c r="B204" s="4" t="s">
        <v>42</v>
      </c>
      <c r="C204" s="4" t="s">
        <v>23</v>
      </c>
      <c r="D204" s="4" t="s">
        <v>43</v>
      </c>
      <c r="E204" s="4" t="s">
        <v>25</v>
      </c>
      <c r="F204" s="4" t="s">
        <v>25</v>
      </c>
      <c r="G204" s="4" t="s">
        <v>25</v>
      </c>
      <c r="H204" s="4" t="s">
        <v>25</v>
      </c>
      <c r="I204" s="5">
        <v>44593</v>
      </c>
      <c r="J204" s="6">
        <v>0</v>
      </c>
      <c r="K204" s="6">
        <v>0</v>
      </c>
      <c r="L204" s="6">
        <v>-0.47399999999999998</v>
      </c>
      <c r="M204" s="6">
        <v>-0.47399999999999998</v>
      </c>
      <c r="N204" s="6">
        <v>-0.47399999999999998</v>
      </c>
      <c r="O204" s="6">
        <v>-0.47399999999999998</v>
      </c>
      <c r="P204" s="6">
        <v>0</v>
      </c>
      <c r="Q204" s="4" t="s">
        <v>26</v>
      </c>
      <c r="R204" s="4">
        <v>0</v>
      </c>
      <c r="S204" s="4" t="s">
        <v>194</v>
      </c>
      <c r="T204" s="4" t="s">
        <v>355</v>
      </c>
      <c r="U204" s="4">
        <v>0</v>
      </c>
      <c r="V204" s="4">
        <v>49</v>
      </c>
      <c r="W204" s="4">
        <v>59</v>
      </c>
    </row>
    <row r="205" spans="1:23" ht="11.25" customHeight="1" x14ac:dyDescent="0.3">
      <c r="A205" s="4" t="s">
        <v>28</v>
      </c>
      <c r="B205" s="4" t="s">
        <v>42</v>
      </c>
      <c r="C205" s="4" t="s">
        <v>23</v>
      </c>
      <c r="D205" s="4" t="s">
        <v>43</v>
      </c>
      <c r="E205" s="4" t="s">
        <v>25</v>
      </c>
      <c r="F205" s="4" t="s">
        <v>25</v>
      </c>
      <c r="G205" s="4" t="s">
        <v>25</v>
      </c>
      <c r="H205" s="4" t="s">
        <v>25</v>
      </c>
      <c r="I205" s="5">
        <v>44593</v>
      </c>
      <c r="J205" s="6">
        <v>0</v>
      </c>
      <c r="K205" s="6">
        <v>0</v>
      </c>
      <c r="L205" s="6">
        <v>18.158999999999999</v>
      </c>
      <c r="M205" s="6">
        <v>18.158999999999999</v>
      </c>
      <c r="N205" s="6">
        <v>18.158999999999999</v>
      </c>
      <c r="O205" s="6">
        <v>18.158999999999999</v>
      </c>
      <c r="P205" s="6">
        <v>13</v>
      </c>
      <c r="Q205" s="4" t="s">
        <v>26</v>
      </c>
      <c r="R205" s="4">
        <v>0</v>
      </c>
      <c r="S205" s="4" t="s">
        <v>194</v>
      </c>
      <c r="T205" s="4" t="s">
        <v>355</v>
      </c>
      <c r="U205" s="4">
        <v>0</v>
      </c>
      <c r="V205" s="4">
        <v>49</v>
      </c>
      <c r="W205" s="4">
        <v>59</v>
      </c>
    </row>
    <row r="206" spans="1:23" ht="11.25" customHeight="1" x14ac:dyDescent="0.3">
      <c r="A206" s="4" t="s">
        <v>21</v>
      </c>
      <c r="B206" s="4" t="s">
        <v>42</v>
      </c>
      <c r="C206" s="4" t="s">
        <v>23</v>
      </c>
      <c r="D206" s="4" t="s">
        <v>43</v>
      </c>
      <c r="E206" s="4" t="s">
        <v>25</v>
      </c>
      <c r="F206" s="4" t="s">
        <v>25</v>
      </c>
      <c r="G206" s="4" t="s">
        <v>25</v>
      </c>
      <c r="H206" s="4" t="s">
        <v>25</v>
      </c>
      <c r="I206" s="5">
        <v>44621</v>
      </c>
      <c r="J206" s="6">
        <v>0</v>
      </c>
      <c r="K206" s="6">
        <v>0</v>
      </c>
      <c r="L206" s="6">
        <v>280.87599999999998</v>
      </c>
      <c r="M206" s="6">
        <v>280.87599999999998</v>
      </c>
      <c r="N206" s="6">
        <v>280.87599999999998</v>
      </c>
      <c r="O206" s="6">
        <v>280.87599999999998</v>
      </c>
      <c r="P206" s="6">
        <v>704</v>
      </c>
      <c r="Q206" s="4" t="s">
        <v>26</v>
      </c>
      <c r="R206" s="4">
        <v>0</v>
      </c>
      <c r="S206" s="4" t="s">
        <v>195</v>
      </c>
      <c r="T206" s="4" t="s">
        <v>356</v>
      </c>
      <c r="U206" s="4">
        <v>0</v>
      </c>
      <c r="V206" s="4">
        <v>49</v>
      </c>
      <c r="W206" s="4">
        <v>59</v>
      </c>
    </row>
    <row r="207" spans="1:23" ht="11.25" customHeight="1" x14ac:dyDescent="0.3">
      <c r="A207" s="4" t="s">
        <v>27</v>
      </c>
      <c r="B207" s="4" t="s">
        <v>42</v>
      </c>
      <c r="C207" s="4" t="s">
        <v>23</v>
      </c>
      <c r="D207" s="4" t="s">
        <v>43</v>
      </c>
      <c r="E207" s="4" t="s">
        <v>25</v>
      </c>
      <c r="F207" s="4" t="s">
        <v>25</v>
      </c>
      <c r="G207" s="4" t="s">
        <v>25</v>
      </c>
      <c r="H207" s="4" t="s">
        <v>25</v>
      </c>
      <c r="I207" s="5">
        <v>44621</v>
      </c>
      <c r="J207" s="6">
        <v>0</v>
      </c>
      <c r="K207" s="6">
        <v>0</v>
      </c>
      <c r="L207" s="6">
        <v>-2.2639999999999998</v>
      </c>
      <c r="M207" s="6">
        <v>-2.2639999999999998</v>
      </c>
      <c r="N207" s="6">
        <v>-2.2639999999999998</v>
      </c>
      <c r="O207" s="6">
        <v>-2.2639999999999998</v>
      </c>
      <c r="P207" s="6">
        <v>0</v>
      </c>
      <c r="Q207" s="4" t="s">
        <v>26</v>
      </c>
      <c r="R207" s="4">
        <v>0</v>
      </c>
      <c r="S207" s="4" t="s">
        <v>195</v>
      </c>
      <c r="T207" s="4" t="s">
        <v>356</v>
      </c>
      <c r="U207" s="4">
        <v>0</v>
      </c>
      <c r="V207" s="4">
        <v>49</v>
      </c>
      <c r="W207" s="4">
        <v>59</v>
      </c>
    </row>
    <row r="208" spans="1:23" ht="11.25" customHeight="1" x14ac:dyDescent="0.3">
      <c r="A208" s="4" t="s">
        <v>28</v>
      </c>
      <c r="B208" s="4" t="s">
        <v>42</v>
      </c>
      <c r="C208" s="4" t="s">
        <v>23</v>
      </c>
      <c r="D208" s="4" t="s">
        <v>43</v>
      </c>
      <c r="E208" s="4" t="s">
        <v>25</v>
      </c>
      <c r="F208" s="4" t="s">
        <v>25</v>
      </c>
      <c r="G208" s="4" t="s">
        <v>25</v>
      </c>
      <c r="H208" s="4" t="s">
        <v>25</v>
      </c>
      <c r="I208" s="5">
        <v>44621</v>
      </c>
      <c r="J208" s="6">
        <v>0</v>
      </c>
      <c r="K208" s="6">
        <v>0</v>
      </c>
      <c r="L208" s="6">
        <v>28.015000000000001</v>
      </c>
      <c r="M208" s="6">
        <v>28.015000000000001</v>
      </c>
      <c r="N208" s="6">
        <v>28.015000000000001</v>
      </c>
      <c r="O208" s="6">
        <v>28.015000000000001</v>
      </c>
      <c r="P208" s="6">
        <v>13</v>
      </c>
      <c r="Q208" s="4" t="s">
        <v>26</v>
      </c>
      <c r="R208" s="4">
        <v>0</v>
      </c>
      <c r="S208" s="4" t="s">
        <v>195</v>
      </c>
      <c r="T208" s="4" t="s">
        <v>356</v>
      </c>
      <c r="U208" s="4">
        <v>0</v>
      </c>
      <c r="V208" s="4">
        <v>49</v>
      </c>
      <c r="W208" s="4">
        <v>59</v>
      </c>
    </row>
    <row r="209" spans="1:23" ht="11.25" customHeight="1" x14ac:dyDescent="0.3">
      <c r="A209" s="4" t="s">
        <v>21</v>
      </c>
      <c r="B209" s="4" t="s">
        <v>42</v>
      </c>
      <c r="C209" s="4" t="s">
        <v>23</v>
      </c>
      <c r="D209" s="4" t="s">
        <v>43</v>
      </c>
      <c r="E209" s="4" t="s">
        <v>25</v>
      </c>
      <c r="F209" s="4" t="s">
        <v>25</v>
      </c>
      <c r="G209" s="4" t="s">
        <v>25</v>
      </c>
      <c r="H209" s="4" t="s">
        <v>25</v>
      </c>
      <c r="I209" s="5">
        <v>44652</v>
      </c>
      <c r="J209" s="6">
        <v>0</v>
      </c>
      <c r="K209" s="6">
        <v>0</v>
      </c>
      <c r="L209" s="6">
        <v>243.8</v>
      </c>
      <c r="M209" s="6">
        <v>243.8</v>
      </c>
      <c r="N209" s="6">
        <v>243.8</v>
      </c>
      <c r="O209" s="6">
        <v>243.8</v>
      </c>
      <c r="P209" s="6">
        <v>705</v>
      </c>
      <c r="Q209" s="4" t="s">
        <v>26</v>
      </c>
      <c r="R209" s="4">
        <v>0</v>
      </c>
      <c r="S209" s="4" t="s">
        <v>196</v>
      </c>
      <c r="T209" s="4" t="s">
        <v>357</v>
      </c>
      <c r="U209" s="4">
        <v>0</v>
      </c>
      <c r="V209" s="4">
        <v>49</v>
      </c>
      <c r="W209" s="4">
        <v>59</v>
      </c>
    </row>
    <row r="210" spans="1:23" ht="11.25" customHeight="1" x14ac:dyDescent="0.3">
      <c r="A210" s="4" t="s">
        <v>28</v>
      </c>
      <c r="B210" s="4" t="s">
        <v>42</v>
      </c>
      <c r="C210" s="4" t="s">
        <v>23</v>
      </c>
      <c r="D210" s="4" t="s">
        <v>43</v>
      </c>
      <c r="E210" s="4" t="s">
        <v>25</v>
      </c>
      <c r="F210" s="4" t="s">
        <v>25</v>
      </c>
      <c r="G210" s="4" t="s">
        <v>25</v>
      </c>
      <c r="H210" s="4" t="s">
        <v>25</v>
      </c>
      <c r="I210" s="5">
        <v>44652</v>
      </c>
      <c r="J210" s="6">
        <v>0</v>
      </c>
      <c r="K210" s="6">
        <v>0</v>
      </c>
      <c r="L210" s="6">
        <v>17.763999999999999</v>
      </c>
      <c r="M210" s="6">
        <v>17.763999999999999</v>
      </c>
      <c r="N210" s="6">
        <v>17.763999999999999</v>
      </c>
      <c r="O210" s="6">
        <v>17.763999999999999</v>
      </c>
      <c r="P210" s="6">
        <v>13</v>
      </c>
      <c r="Q210" s="4" t="s">
        <v>26</v>
      </c>
      <c r="R210" s="4">
        <v>0</v>
      </c>
      <c r="S210" s="4" t="s">
        <v>196</v>
      </c>
      <c r="T210" s="4" t="s">
        <v>357</v>
      </c>
      <c r="U210" s="4">
        <v>0</v>
      </c>
      <c r="V210" s="4">
        <v>49</v>
      </c>
      <c r="W210" s="4">
        <v>59</v>
      </c>
    </row>
    <row r="211" spans="1:23" ht="11.25" customHeight="1" x14ac:dyDescent="0.3">
      <c r="A211" s="4" t="s">
        <v>28</v>
      </c>
      <c r="B211" s="4" t="s">
        <v>42</v>
      </c>
      <c r="C211" s="4" t="s">
        <v>23</v>
      </c>
      <c r="D211" s="4" t="s">
        <v>43</v>
      </c>
      <c r="E211" s="4" t="s">
        <v>25</v>
      </c>
      <c r="F211" s="4" t="s">
        <v>25</v>
      </c>
      <c r="G211" s="4" t="s">
        <v>25</v>
      </c>
      <c r="H211" s="4" t="s">
        <v>25</v>
      </c>
      <c r="I211" s="5">
        <v>44652</v>
      </c>
      <c r="J211" s="6">
        <v>0</v>
      </c>
      <c r="K211" s="6">
        <v>0</v>
      </c>
      <c r="L211" s="6">
        <v>-1.169</v>
      </c>
      <c r="M211" s="6">
        <v>-1.169</v>
      </c>
      <c r="N211" s="6">
        <v>-1.169</v>
      </c>
      <c r="O211" s="6">
        <v>-1.169</v>
      </c>
      <c r="P211" s="6">
        <v>2</v>
      </c>
      <c r="Q211" s="4" t="s">
        <v>26</v>
      </c>
      <c r="R211" s="4">
        <v>0</v>
      </c>
      <c r="S211" s="4" t="s">
        <v>196</v>
      </c>
      <c r="T211" s="4" t="s">
        <v>357</v>
      </c>
      <c r="U211" s="4">
        <v>0</v>
      </c>
      <c r="V211" s="4">
        <v>49</v>
      </c>
      <c r="W211" s="4">
        <v>59</v>
      </c>
    </row>
    <row r="212" spans="1:23" ht="11.25" customHeight="1" x14ac:dyDescent="0.3">
      <c r="A212" s="4" t="s">
        <v>21</v>
      </c>
      <c r="B212" s="4" t="s">
        <v>42</v>
      </c>
      <c r="C212" s="4" t="s">
        <v>23</v>
      </c>
      <c r="D212" s="4" t="s">
        <v>43</v>
      </c>
      <c r="E212" s="4" t="s">
        <v>25</v>
      </c>
      <c r="F212" s="4" t="s">
        <v>25</v>
      </c>
      <c r="G212" s="4" t="s">
        <v>25</v>
      </c>
      <c r="H212" s="4" t="s">
        <v>25</v>
      </c>
      <c r="I212" s="5">
        <v>44682</v>
      </c>
      <c r="J212" s="6">
        <v>0</v>
      </c>
      <c r="K212" s="6">
        <v>0</v>
      </c>
      <c r="L212" s="6">
        <v>220.846</v>
      </c>
      <c r="M212" s="6">
        <v>220.846</v>
      </c>
      <c r="N212" s="6">
        <v>220.846</v>
      </c>
      <c r="O212" s="6">
        <v>220.846</v>
      </c>
      <c r="P212" s="6">
        <v>700</v>
      </c>
      <c r="Q212" s="4" t="s">
        <v>26</v>
      </c>
      <c r="R212" s="4">
        <v>0</v>
      </c>
      <c r="S212" s="4" t="s">
        <v>197</v>
      </c>
      <c r="T212" s="4" t="s">
        <v>358</v>
      </c>
      <c r="U212" s="4">
        <v>0</v>
      </c>
      <c r="V212" s="4">
        <v>49</v>
      </c>
      <c r="W212" s="4">
        <v>59</v>
      </c>
    </row>
    <row r="213" spans="1:23" ht="11.25" customHeight="1" x14ac:dyDescent="0.3">
      <c r="A213" s="4" t="s">
        <v>28</v>
      </c>
      <c r="B213" s="4" t="s">
        <v>42</v>
      </c>
      <c r="C213" s="4" t="s">
        <v>23</v>
      </c>
      <c r="D213" s="4" t="s">
        <v>43</v>
      </c>
      <c r="E213" s="4" t="s">
        <v>25</v>
      </c>
      <c r="F213" s="4" t="s">
        <v>25</v>
      </c>
      <c r="G213" s="4" t="s">
        <v>25</v>
      </c>
      <c r="H213" s="4" t="s">
        <v>25</v>
      </c>
      <c r="I213" s="5">
        <v>44682</v>
      </c>
      <c r="J213" s="6">
        <v>0</v>
      </c>
      <c r="K213" s="6">
        <v>0</v>
      </c>
      <c r="L213" s="6">
        <v>18.504999999999999</v>
      </c>
      <c r="M213" s="6">
        <v>18.504999999999999</v>
      </c>
      <c r="N213" s="6">
        <v>18.504999999999999</v>
      </c>
      <c r="O213" s="6">
        <v>18.504999999999999</v>
      </c>
      <c r="P213" s="6">
        <v>17</v>
      </c>
      <c r="Q213" s="4" t="s">
        <v>26</v>
      </c>
      <c r="R213" s="4">
        <v>0</v>
      </c>
      <c r="S213" s="4" t="s">
        <v>197</v>
      </c>
      <c r="T213" s="4" t="s">
        <v>358</v>
      </c>
      <c r="U213" s="4">
        <v>0</v>
      </c>
      <c r="V213" s="4">
        <v>49</v>
      </c>
      <c r="W213" s="4">
        <v>59</v>
      </c>
    </row>
    <row r="214" spans="1:23" ht="11.25" customHeight="1" x14ac:dyDescent="0.3">
      <c r="A214" s="4" t="s">
        <v>28</v>
      </c>
      <c r="B214" s="4" t="s">
        <v>42</v>
      </c>
      <c r="C214" s="4" t="s">
        <v>23</v>
      </c>
      <c r="D214" s="4" t="s">
        <v>43</v>
      </c>
      <c r="E214" s="4" t="s">
        <v>25</v>
      </c>
      <c r="F214" s="4" t="s">
        <v>25</v>
      </c>
      <c r="G214" s="4" t="s">
        <v>25</v>
      </c>
      <c r="H214" s="4" t="s">
        <v>25</v>
      </c>
      <c r="I214" s="5">
        <v>44682</v>
      </c>
      <c r="J214" s="6">
        <v>0</v>
      </c>
      <c r="K214" s="6">
        <v>0</v>
      </c>
      <c r="L214" s="6">
        <v>-5.4939999999999998</v>
      </c>
      <c r="M214" s="6">
        <v>-5.4939999999999998</v>
      </c>
      <c r="N214" s="6">
        <v>-5.4939999999999998</v>
      </c>
      <c r="O214" s="6">
        <v>-5.4939999999999998</v>
      </c>
      <c r="P214" s="6">
        <v>2</v>
      </c>
      <c r="Q214" s="4" t="s">
        <v>26</v>
      </c>
      <c r="R214" s="4">
        <v>0</v>
      </c>
      <c r="S214" s="4" t="s">
        <v>197</v>
      </c>
      <c r="T214" s="4" t="s">
        <v>358</v>
      </c>
      <c r="U214" s="4">
        <v>0</v>
      </c>
      <c r="V214" s="4">
        <v>49</v>
      </c>
      <c r="W214" s="4">
        <v>59</v>
      </c>
    </row>
    <row r="215" spans="1:23" ht="11.25" customHeight="1" x14ac:dyDescent="0.3">
      <c r="A215" s="4" t="s">
        <v>21</v>
      </c>
      <c r="B215" s="4" t="s">
        <v>42</v>
      </c>
      <c r="C215" s="4" t="s">
        <v>23</v>
      </c>
      <c r="D215" s="4" t="s">
        <v>43</v>
      </c>
      <c r="E215" s="4" t="s">
        <v>25</v>
      </c>
      <c r="F215" s="4" t="s">
        <v>25</v>
      </c>
      <c r="G215" s="4" t="s">
        <v>25</v>
      </c>
      <c r="H215" s="4" t="s">
        <v>25</v>
      </c>
      <c r="I215" s="5">
        <v>44713</v>
      </c>
      <c r="J215" s="6">
        <v>0</v>
      </c>
      <c r="K215" s="6">
        <v>0</v>
      </c>
      <c r="L215" s="6">
        <v>269.67599999999999</v>
      </c>
      <c r="M215" s="6">
        <v>269.67599999999999</v>
      </c>
      <c r="N215" s="6">
        <v>269.67599999999999</v>
      </c>
      <c r="O215" s="6">
        <v>269.67599999999999</v>
      </c>
      <c r="P215" s="6">
        <v>701</v>
      </c>
      <c r="Q215" s="4" t="s">
        <v>26</v>
      </c>
      <c r="R215" s="4">
        <v>0</v>
      </c>
      <c r="S215" s="4" t="s">
        <v>198</v>
      </c>
      <c r="T215" s="4" t="s">
        <v>359</v>
      </c>
      <c r="U215" s="4">
        <v>0</v>
      </c>
      <c r="V215" s="4">
        <v>49</v>
      </c>
      <c r="W215" s="4">
        <v>59</v>
      </c>
    </row>
    <row r="216" spans="1:23" ht="11.25" customHeight="1" x14ac:dyDescent="0.3">
      <c r="A216" s="4" t="s">
        <v>28</v>
      </c>
      <c r="B216" s="4" t="s">
        <v>42</v>
      </c>
      <c r="C216" s="4" t="s">
        <v>23</v>
      </c>
      <c r="D216" s="4" t="s">
        <v>43</v>
      </c>
      <c r="E216" s="4" t="s">
        <v>25</v>
      </c>
      <c r="F216" s="4" t="s">
        <v>25</v>
      </c>
      <c r="G216" s="4" t="s">
        <v>25</v>
      </c>
      <c r="H216" s="4" t="s">
        <v>25</v>
      </c>
      <c r="I216" s="5">
        <v>44713</v>
      </c>
      <c r="J216" s="6">
        <v>0</v>
      </c>
      <c r="K216" s="6">
        <v>0</v>
      </c>
      <c r="L216" s="6">
        <v>-3.0350000000000001</v>
      </c>
      <c r="M216" s="6">
        <v>-3.0350000000000001</v>
      </c>
      <c r="N216" s="6">
        <v>-3.0350000000000001</v>
      </c>
      <c r="O216" s="6">
        <v>-3.0350000000000001</v>
      </c>
      <c r="P216" s="6">
        <v>2</v>
      </c>
      <c r="Q216" s="4" t="s">
        <v>26</v>
      </c>
      <c r="R216" s="4">
        <v>0</v>
      </c>
      <c r="S216" s="4" t="s">
        <v>198</v>
      </c>
      <c r="T216" s="4" t="s">
        <v>359</v>
      </c>
      <c r="U216" s="4">
        <v>0</v>
      </c>
      <c r="V216" s="4">
        <v>49</v>
      </c>
      <c r="W216" s="4">
        <v>59</v>
      </c>
    </row>
    <row r="217" spans="1:23" ht="11.25" customHeight="1" x14ac:dyDescent="0.3">
      <c r="A217" s="4" t="s">
        <v>28</v>
      </c>
      <c r="B217" s="4" t="s">
        <v>42</v>
      </c>
      <c r="C217" s="4" t="s">
        <v>23</v>
      </c>
      <c r="D217" s="4" t="s">
        <v>43</v>
      </c>
      <c r="E217" s="4" t="s">
        <v>25</v>
      </c>
      <c r="F217" s="4" t="s">
        <v>25</v>
      </c>
      <c r="G217" s="4" t="s">
        <v>25</v>
      </c>
      <c r="H217" s="4" t="s">
        <v>25</v>
      </c>
      <c r="I217" s="5">
        <v>44713</v>
      </c>
      <c r="J217" s="6">
        <v>0</v>
      </c>
      <c r="K217" s="6">
        <v>0</v>
      </c>
      <c r="L217" s="6">
        <v>30.792999999999999</v>
      </c>
      <c r="M217" s="6">
        <v>30.792999999999999</v>
      </c>
      <c r="N217" s="6">
        <v>30.792999999999999</v>
      </c>
      <c r="O217" s="6">
        <v>30.792999999999999</v>
      </c>
      <c r="P217" s="6">
        <v>16</v>
      </c>
      <c r="Q217" s="4" t="s">
        <v>26</v>
      </c>
      <c r="R217" s="4">
        <v>0</v>
      </c>
      <c r="S217" s="4" t="s">
        <v>198</v>
      </c>
      <c r="T217" s="4" t="s">
        <v>359</v>
      </c>
      <c r="U217" s="4">
        <v>0</v>
      </c>
      <c r="V217" s="4">
        <v>49</v>
      </c>
      <c r="W217" s="4">
        <v>59</v>
      </c>
    </row>
    <row r="218" spans="1:23" ht="11.25" customHeight="1" x14ac:dyDescent="0.3">
      <c r="A218" s="4" t="s">
        <v>21</v>
      </c>
      <c r="B218" s="4" t="s">
        <v>42</v>
      </c>
      <c r="C218" s="4" t="s">
        <v>23</v>
      </c>
      <c r="D218" s="4" t="s">
        <v>43</v>
      </c>
      <c r="E218" s="4" t="s">
        <v>25</v>
      </c>
      <c r="F218" s="4" t="s">
        <v>25</v>
      </c>
      <c r="G218" s="4" t="s">
        <v>25</v>
      </c>
      <c r="H218" s="4" t="s">
        <v>25</v>
      </c>
      <c r="I218" s="5">
        <v>44743</v>
      </c>
      <c r="J218" s="6">
        <v>0</v>
      </c>
      <c r="K218" s="6">
        <v>0</v>
      </c>
      <c r="L218" s="6">
        <v>241.06</v>
      </c>
      <c r="M218" s="6">
        <v>241.06</v>
      </c>
      <c r="N218" s="6">
        <v>241.06</v>
      </c>
      <c r="O218" s="6">
        <v>241.06</v>
      </c>
      <c r="P218" s="6">
        <v>698</v>
      </c>
      <c r="Q218" s="4" t="s">
        <v>26</v>
      </c>
      <c r="R218" s="4">
        <v>0</v>
      </c>
      <c r="S218" s="4" t="s">
        <v>199</v>
      </c>
      <c r="T218" s="4" t="s">
        <v>360</v>
      </c>
      <c r="U218" s="4">
        <v>0</v>
      </c>
      <c r="V218" s="4">
        <v>49</v>
      </c>
      <c r="W218" s="4">
        <v>59</v>
      </c>
    </row>
    <row r="219" spans="1:23" ht="11.25" customHeight="1" x14ac:dyDescent="0.3">
      <c r="A219" s="4" t="s">
        <v>28</v>
      </c>
      <c r="B219" s="4" t="s">
        <v>42</v>
      </c>
      <c r="C219" s="4" t="s">
        <v>23</v>
      </c>
      <c r="D219" s="4" t="s">
        <v>43</v>
      </c>
      <c r="E219" s="4" t="s">
        <v>25</v>
      </c>
      <c r="F219" s="4" t="s">
        <v>25</v>
      </c>
      <c r="G219" s="4" t="s">
        <v>25</v>
      </c>
      <c r="H219" s="4" t="s">
        <v>25</v>
      </c>
      <c r="I219" s="5">
        <v>44743</v>
      </c>
      <c r="J219" s="6">
        <v>0</v>
      </c>
      <c r="K219" s="6">
        <v>0</v>
      </c>
      <c r="L219" s="6">
        <v>28.602</v>
      </c>
      <c r="M219" s="6">
        <v>28.602</v>
      </c>
      <c r="N219" s="6">
        <v>28.602</v>
      </c>
      <c r="O219" s="6">
        <v>28.602</v>
      </c>
      <c r="P219" s="6">
        <v>18</v>
      </c>
      <c r="Q219" s="4" t="s">
        <v>26</v>
      </c>
      <c r="R219" s="4">
        <v>0</v>
      </c>
      <c r="S219" s="4" t="s">
        <v>199</v>
      </c>
      <c r="T219" s="4" t="s">
        <v>360</v>
      </c>
      <c r="U219" s="4">
        <v>0</v>
      </c>
      <c r="V219" s="4">
        <v>49</v>
      </c>
      <c r="W219" s="4">
        <v>59</v>
      </c>
    </row>
    <row r="220" spans="1:23" ht="11.25" customHeight="1" x14ac:dyDescent="0.3">
      <c r="A220" s="4" t="s">
        <v>52</v>
      </c>
      <c r="B220" s="4" t="s">
        <v>42</v>
      </c>
      <c r="C220" s="4" t="s">
        <v>23</v>
      </c>
      <c r="D220" s="4" t="s">
        <v>43</v>
      </c>
      <c r="E220" s="4" t="s">
        <v>25</v>
      </c>
      <c r="F220" s="4" t="s">
        <v>25</v>
      </c>
      <c r="G220" s="4" t="s">
        <v>25</v>
      </c>
      <c r="H220" s="4" t="s">
        <v>25</v>
      </c>
      <c r="I220" s="5">
        <v>44774</v>
      </c>
      <c r="J220" s="6">
        <v>0</v>
      </c>
      <c r="K220" s="6">
        <v>0</v>
      </c>
      <c r="L220" s="6">
        <v>241.06</v>
      </c>
      <c r="M220" s="6">
        <v>241.06</v>
      </c>
      <c r="N220" s="6">
        <v>241.06</v>
      </c>
      <c r="O220" s="6">
        <v>241.06</v>
      </c>
      <c r="P220" s="6">
        <v>698</v>
      </c>
      <c r="Q220" s="4" t="s">
        <v>26</v>
      </c>
      <c r="R220" s="4">
        <v>0</v>
      </c>
      <c r="S220" s="4" t="s">
        <v>200</v>
      </c>
      <c r="T220" s="4" t="s">
        <v>361</v>
      </c>
      <c r="U220" s="4">
        <v>0</v>
      </c>
      <c r="V220" s="4">
        <v>49</v>
      </c>
      <c r="W220" s="4">
        <v>59</v>
      </c>
    </row>
    <row r="221" spans="1:23" ht="11.25" customHeight="1" x14ac:dyDescent="0.3">
      <c r="A221" s="4" t="s">
        <v>52</v>
      </c>
      <c r="B221" s="4" t="s">
        <v>42</v>
      </c>
      <c r="C221" s="4" t="s">
        <v>23</v>
      </c>
      <c r="D221" s="4" t="s">
        <v>43</v>
      </c>
      <c r="E221" s="4" t="s">
        <v>25</v>
      </c>
      <c r="F221" s="4" t="s">
        <v>25</v>
      </c>
      <c r="G221" s="4" t="s">
        <v>25</v>
      </c>
      <c r="H221" s="4" t="s">
        <v>25</v>
      </c>
      <c r="I221" s="5">
        <v>44774</v>
      </c>
      <c r="J221" s="6">
        <v>0</v>
      </c>
      <c r="K221" s="6">
        <v>0</v>
      </c>
      <c r="L221" s="6">
        <v>28.602</v>
      </c>
      <c r="M221" s="6">
        <v>28.602</v>
      </c>
      <c r="N221" s="6">
        <v>28.602</v>
      </c>
      <c r="O221" s="6">
        <v>28.602</v>
      </c>
      <c r="P221" s="6">
        <v>18</v>
      </c>
      <c r="Q221" s="4" t="s">
        <v>26</v>
      </c>
      <c r="R221" s="4">
        <v>0</v>
      </c>
      <c r="S221" s="4" t="s">
        <v>200</v>
      </c>
      <c r="T221" s="4" t="s">
        <v>361</v>
      </c>
      <c r="U221" s="4">
        <v>0</v>
      </c>
      <c r="V221" s="4">
        <v>49</v>
      </c>
      <c r="W221" s="4">
        <v>59</v>
      </c>
    </row>
    <row r="222" spans="1:23" ht="11.25" customHeight="1" x14ac:dyDescent="0.3">
      <c r="A222" s="4" t="s">
        <v>21</v>
      </c>
      <c r="B222" s="4" t="s">
        <v>33</v>
      </c>
      <c r="C222" s="4" t="s">
        <v>39</v>
      </c>
      <c r="D222" s="4" t="s">
        <v>34</v>
      </c>
      <c r="E222" s="4" t="s">
        <v>25</v>
      </c>
      <c r="F222" s="4" t="s">
        <v>25</v>
      </c>
      <c r="G222" s="4" t="s">
        <v>25</v>
      </c>
      <c r="H222" s="4" t="s">
        <v>38</v>
      </c>
      <c r="I222" s="5">
        <v>44440</v>
      </c>
      <c r="J222" s="6">
        <v>0</v>
      </c>
      <c r="K222" s="6">
        <v>0</v>
      </c>
      <c r="L222" s="6">
        <v>28.125</v>
      </c>
      <c r="M222" s="6">
        <v>28.125</v>
      </c>
      <c r="N222" s="6">
        <v>28.125</v>
      </c>
      <c r="O222" s="6">
        <v>28.125</v>
      </c>
      <c r="P222" s="6">
        <v>0</v>
      </c>
      <c r="Q222" s="4" t="s">
        <v>26</v>
      </c>
      <c r="R222" s="4">
        <v>0</v>
      </c>
      <c r="S222" s="4" t="s">
        <v>201</v>
      </c>
      <c r="T222" s="4" t="s">
        <v>362</v>
      </c>
      <c r="U222" s="4">
        <v>0</v>
      </c>
      <c r="V222" s="4">
        <v>24</v>
      </c>
      <c r="W222" s="4">
        <v>60</v>
      </c>
    </row>
    <row r="223" spans="1:23" ht="11.25" customHeight="1" x14ac:dyDescent="0.3">
      <c r="A223" s="4" t="s">
        <v>21</v>
      </c>
      <c r="B223" s="4" t="s">
        <v>33</v>
      </c>
      <c r="C223" s="4" t="s">
        <v>39</v>
      </c>
      <c r="D223" s="4" t="s">
        <v>34</v>
      </c>
      <c r="E223" s="4" t="s">
        <v>25</v>
      </c>
      <c r="F223" s="4" t="s">
        <v>25</v>
      </c>
      <c r="G223" s="4" t="s">
        <v>25</v>
      </c>
      <c r="H223" s="4" t="s">
        <v>38</v>
      </c>
      <c r="I223" s="5">
        <v>44470</v>
      </c>
      <c r="J223" s="6">
        <v>0</v>
      </c>
      <c r="K223" s="6">
        <v>0</v>
      </c>
      <c r="L223" s="6">
        <v>33.966000000000001</v>
      </c>
      <c r="M223" s="6">
        <v>33.966000000000001</v>
      </c>
      <c r="N223" s="6">
        <v>33.966000000000001</v>
      </c>
      <c r="O223" s="6">
        <v>33.966000000000001</v>
      </c>
      <c r="P223" s="6">
        <v>0</v>
      </c>
      <c r="Q223" s="4" t="s">
        <v>26</v>
      </c>
      <c r="R223" s="4">
        <v>0</v>
      </c>
      <c r="S223" s="4" t="s">
        <v>202</v>
      </c>
      <c r="T223" s="4" t="s">
        <v>363</v>
      </c>
      <c r="U223" s="4">
        <v>0</v>
      </c>
      <c r="V223" s="4">
        <v>24</v>
      </c>
      <c r="W223" s="4">
        <v>60</v>
      </c>
    </row>
    <row r="224" spans="1:23" ht="11.25" customHeight="1" x14ac:dyDescent="0.3">
      <c r="A224" s="4" t="s">
        <v>21</v>
      </c>
      <c r="B224" s="4" t="s">
        <v>33</v>
      </c>
      <c r="C224" s="4" t="s">
        <v>39</v>
      </c>
      <c r="D224" s="4" t="s">
        <v>34</v>
      </c>
      <c r="E224" s="4" t="s">
        <v>25</v>
      </c>
      <c r="F224" s="4" t="s">
        <v>25</v>
      </c>
      <c r="G224" s="4" t="s">
        <v>25</v>
      </c>
      <c r="H224" s="4" t="s">
        <v>38</v>
      </c>
      <c r="I224" s="5">
        <v>44501</v>
      </c>
      <c r="J224" s="6">
        <v>0</v>
      </c>
      <c r="K224" s="6">
        <v>0</v>
      </c>
      <c r="L224" s="6">
        <v>34.052</v>
      </c>
      <c r="M224" s="6">
        <v>34.052</v>
      </c>
      <c r="N224" s="6">
        <v>34.052</v>
      </c>
      <c r="O224" s="6">
        <v>34.052</v>
      </c>
      <c r="P224" s="6">
        <v>0</v>
      </c>
      <c r="Q224" s="4" t="s">
        <v>26</v>
      </c>
      <c r="R224" s="4">
        <v>0</v>
      </c>
      <c r="S224" s="4" t="s">
        <v>203</v>
      </c>
      <c r="T224" s="4" t="s">
        <v>364</v>
      </c>
      <c r="U224" s="4">
        <v>0</v>
      </c>
      <c r="V224" s="4">
        <v>24</v>
      </c>
      <c r="W224" s="4">
        <v>60</v>
      </c>
    </row>
    <row r="225" spans="1:23" ht="11.25" customHeight="1" x14ac:dyDescent="0.3">
      <c r="A225" s="4" t="s">
        <v>21</v>
      </c>
      <c r="B225" s="4" t="s">
        <v>33</v>
      </c>
      <c r="C225" s="4" t="s">
        <v>39</v>
      </c>
      <c r="D225" s="4" t="s">
        <v>34</v>
      </c>
      <c r="E225" s="4" t="s">
        <v>25</v>
      </c>
      <c r="F225" s="4" t="s">
        <v>25</v>
      </c>
      <c r="G225" s="4" t="s">
        <v>25</v>
      </c>
      <c r="H225" s="4" t="s">
        <v>38</v>
      </c>
      <c r="I225" s="5">
        <v>44531</v>
      </c>
      <c r="J225" s="6">
        <v>0</v>
      </c>
      <c r="K225" s="6">
        <v>0</v>
      </c>
      <c r="L225" s="6">
        <v>27.806999999999999</v>
      </c>
      <c r="M225" s="6">
        <v>27.806999999999999</v>
      </c>
      <c r="N225" s="6">
        <v>27.806999999999999</v>
      </c>
      <c r="O225" s="6">
        <v>27.806999999999999</v>
      </c>
      <c r="P225" s="6">
        <v>0</v>
      </c>
      <c r="Q225" s="4" t="s">
        <v>26</v>
      </c>
      <c r="R225" s="4">
        <v>0</v>
      </c>
      <c r="S225" s="4" t="s">
        <v>204</v>
      </c>
      <c r="T225" s="4" t="s">
        <v>365</v>
      </c>
      <c r="U225" s="4">
        <v>0</v>
      </c>
      <c r="V225" s="4">
        <v>24</v>
      </c>
      <c r="W225" s="4">
        <v>60</v>
      </c>
    </row>
    <row r="226" spans="1:23" ht="11.25" customHeight="1" x14ac:dyDescent="0.3">
      <c r="A226" s="4" t="s">
        <v>21</v>
      </c>
      <c r="B226" s="4" t="s">
        <v>33</v>
      </c>
      <c r="C226" s="4" t="s">
        <v>39</v>
      </c>
      <c r="D226" s="4" t="s">
        <v>34</v>
      </c>
      <c r="E226" s="4" t="s">
        <v>25</v>
      </c>
      <c r="F226" s="4" t="s">
        <v>25</v>
      </c>
      <c r="G226" s="4" t="s">
        <v>25</v>
      </c>
      <c r="H226" s="4" t="s">
        <v>38</v>
      </c>
      <c r="I226" s="5">
        <v>44562</v>
      </c>
      <c r="J226" s="6">
        <v>0</v>
      </c>
      <c r="K226" s="6">
        <v>0</v>
      </c>
      <c r="L226" s="6">
        <v>21.280999999999999</v>
      </c>
      <c r="M226" s="6">
        <v>21.280999999999999</v>
      </c>
      <c r="N226" s="6">
        <v>21.280999999999999</v>
      </c>
      <c r="O226" s="6">
        <v>21.280999999999999</v>
      </c>
      <c r="P226" s="6">
        <v>0</v>
      </c>
      <c r="Q226" s="4" t="s">
        <v>26</v>
      </c>
      <c r="R226" s="4">
        <v>0</v>
      </c>
      <c r="S226" s="4" t="s">
        <v>205</v>
      </c>
      <c r="T226" s="4" t="s">
        <v>366</v>
      </c>
      <c r="U226" s="4">
        <v>0</v>
      </c>
      <c r="V226" s="4">
        <v>24</v>
      </c>
      <c r="W226" s="4">
        <v>60</v>
      </c>
    </row>
    <row r="227" spans="1:23" ht="11.25" customHeight="1" x14ac:dyDescent="0.3">
      <c r="A227" s="4" t="s">
        <v>21</v>
      </c>
      <c r="B227" s="4" t="s">
        <v>33</v>
      </c>
      <c r="C227" s="4" t="s">
        <v>39</v>
      </c>
      <c r="D227" s="4" t="s">
        <v>34</v>
      </c>
      <c r="E227" s="4" t="s">
        <v>25</v>
      </c>
      <c r="F227" s="4" t="s">
        <v>25</v>
      </c>
      <c r="G227" s="4" t="s">
        <v>25</v>
      </c>
      <c r="H227" s="4" t="s">
        <v>38</v>
      </c>
      <c r="I227" s="5">
        <v>44593</v>
      </c>
      <c r="J227" s="6">
        <v>0</v>
      </c>
      <c r="K227" s="6">
        <v>0</v>
      </c>
      <c r="L227" s="6">
        <v>34.11</v>
      </c>
      <c r="M227" s="6">
        <v>34.11</v>
      </c>
      <c r="N227" s="6">
        <v>34.11</v>
      </c>
      <c r="O227" s="6">
        <v>34.11</v>
      </c>
      <c r="P227" s="6">
        <v>0</v>
      </c>
      <c r="Q227" s="4" t="s">
        <v>26</v>
      </c>
      <c r="R227" s="4">
        <v>0</v>
      </c>
      <c r="S227" s="4" t="s">
        <v>206</v>
      </c>
      <c r="T227" s="4" t="s">
        <v>367</v>
      </c>
      <c r="U227" s="4">
        <v>0</v>
      </c>
      <c r="V227" s="4">
        <v>24</v>
      </c>
      <c r="W227" s="4">
        <v>60</v>
      </c>
    </row>
    <row r="228" spans="1:23" ht="11.25" customHeight="1" x14ac:dyDescent="0.3">
      <c r="A228" s="4" t="s">
        <v>21</v>
      </c>
      <c r="B228" s="4" t="s">
        <v>33</v>
      </c>
      <c r="C228" s="4" t="s">
        <v>39</v>
      </c>
      <c r="D228" s="4" t="s">
        <v>34</v>
      </c>
      <c r="E228" s="4" t="s">
        <v>25</v>
      </c>
      <c r="F228" s="4" t="s">
        <v>25</v>
      </c>
      <c r="G228" s="4" t="s">
        <v>25</v>
      </c>
      <c r="H228" s="4" t="s">
        <v>38</v>
      </c>
      <c r="I228" s="5">
        <v>44621</v>
      </c>
      <c r="J228" s="6">
        <v>0</v>
      </c>
      <c r="K228" s="6">
        <v>0</v>
      </c>
      <c r="L228" s="6">
        <v>35.738</v>
      </c>
      <c r="M228" s="6">
        <v>35.738</v>
      </c>
      <c r="N228" s="6">
        <v>35.738</v>
      </c>
      <c r="O228" s="6">
        <v>35.738</v>
      </c>
      <c r="P228" s="6">
        <v>0</v>
      </c>
      <c r="Q228" s="4" t="s">
        <v>26</v>
      </c>
      <c r="R228" s="4">
        <v>0</v>
      </c>
      <c r="S228" s="4" t="s">
        <v>207</v>
      </c>
      <c r="T228" s="4" t="s">
        <v>368</v>
      </c>
      <c r="U228" s="4">
        <v>0</v>
      </c>
      <c r="V228" s="4">
        <v>24</v>
      </c>
      <c r="W228" s="4">
        <v>60</v>
      </c>
    </row>
    <row r="229" spans="1:23" ht="11.25" customHeight="1" x14ac:dyDescent="0.3">
      <c r="A229" s="4" t="s">
        <v>21</v>
      </c>
      <c r="B229" s="4" t="s">
        <v>33</v>
      </c>
      <c r="C229" s="4" t="s">
        <v>39</v>
      </c>
      <c r="D229" s="4" t="s">
        <v>34</v>
      </c>
      <c r="E229" s="4" t="s">
        <v>25</v>
      </c>
      <c r="F229" s="4" t="s">
        <v>25</v>
      </c>
      <c r="G229" s="4" t="s">
        <v>25</v>
      </c>
      <c r="H229" s="4" t="s">
        <v>38</v>
      </c>
      <c r="I229" s="5">
        <v>44652</v>
      </c>
      <c r="J229" s="6">
        <v>0</v>
      </c>
      <c r="K229" s="6">
        <v>0</v>
      </c>
      <c r="L229" s="6">
        <v>29.988</v>
      </c>
      <c r="M229" s="6">
        <v>29.988</v>
      </c>
      <c r="N229" s="6">
        <v>29.988</v>
      </c>
      <c r="O229" s="6">
        <v>29.988</v>
      </c>
      <c r="P229" s="6">
        <v>0</v>
      </c>
      <c r="Q229" s="4" t="s">
        <v>26</v>
      </c>
      <c r="R229" s="4">
        <v>0</v>
      </c>
      <c r="S229" s="4" t="s">
        <v>208</v>
      </c>
      <c r="T229" s="4" t="s">
        <v>369</v>
      </c>
      <c r="U229" s="4">
        <v>0</v>
      </c>
      <c r="V229" s="4">
        <v>24</v>
      </c>
      <c r="W229" s="4">
        <v>60</v>
      </c>
    </row>
    <row r="230" spans="1:23" ht="11.25" customHeight="1" x14ac:dyDescent="0.3">
      <c r="A230" s="4" t="s">
        <v>21</v>
      </c>
      <c r="B230" s="4" t="s">
        <v>33</v>
      </c>
      <c r="C230" s="4" t="s">
        <v>39</v>
      </c>
      <c r="D230" s="4" t="s">
        <v>34</v>
      </c>
      <c r="E230" s="4" t="s">
        <v>25</v>
      </c>
      <c r="F230" s="4" t="s">
        <v>25</v>
      </c>
      <c r="G230" s="4" t="s">
        <v>25</v>
      </c>
      <c r="H230" s="4" t="s">
        <v>38</v>
      </c>
      <c r="I230" s="5">
        <v>44682</v>
      </c>
      <c r="J230" s="6">
        <v>0</v>
      </c>
      <c r="K230" s="6">
        <v>0</v>
      </c>
      <c r="L230" s="6">
        <v>27.564</v>
      </c>
      <c r="M230" s="6">
        <v>27.564</v>
      </c>
      <c r="N230" s="6">
        <v>27.564</v>
      </c>
      <c r="O230" s="6">
        <v>27.564</v>
      </c>
      <c r="P230" s="6">
        <v>0</v>
      </c>
      <c r="Q230" s="4" t="s">
        <v>26</v>
      </c>
      <c r="R230" s="4">
        <v>0</v>
      </c>
      <c r="S230" s="4" t="s">
        <v>209</v>
      </c>
      <c r="T230" s="4" t="s">
        <v>370</v>
      </c>
      <c r="U230" s="4">
        <v>0</v>
      </c>
      <c r="V230" s="4">
        <v>24</v>
      </c>
      <c r="W230" s="4">
        <v>60</v>
      </c>
    </row>
    <row r="231" spans="1:23" ht="11.25" customHeight="1" x14ac:dyDescent="0.3">
      <c r="A231" s="4" t="s">
        <v>21</v>
      </c>
      <c r="B231" s="4" t="s">
        <v>33</v>
      </c>
      <c r="C231" s="4" t="s">
        <v>39</v>
      </c>
      <c r="D231" s="4" t="s">
        <v>34</v>
      </c>
      <c r="E231" s="4" t="s">
        <v>25</v>
      </c>
      <c r="F231" s="4" t="s">
        <v>25</v>
      </c>
      <c r="G231" s="4" t="s">
        <v>25</v>
      </c>
      <c r="H231" s="4" t="s">
        <v>38</v>
      </c>
      <c r="I231" s="5">
        <v>44713</v>
      </c>
      <c r="J231" s="6">
        <v>0</v>
      </c>
      <c r="K231" s="6">
        <v>0</v>
      </c>
      <c r="L231" s="6">
        <v>34.933</v>
      </c>
      <c r="M231" s="6">
        <v>34.933</v>
      </c>
      <c r="N231" s="6">
        <v>34.933</v>
      </c>
      <c r="O231" s="6">
        <v>34.933</v>
      </c>
      <c r="P231" s="6">
        <v>0</v>
      </c>
      <c r="Q231" s="4" t="s">
        <v>26</v>
      </c>
      <c r="R231" s="4">
        <v>0</v>
      </c>
      <c r="S231" s="4" t="s">
        <v>210</v>
      </c>
      <c r="T231" s="4" t="s">
        <v>371</v>
      </c>
      <c r="U231" s="4">
        <v>0</v>
      </c>
      <c r="V231" s="4">
        <v>24</v>
      </c>
      <c r="W231" s="4">
        <v>60</v>
      </c>
    </row>
    <row r="232" spans="1:23" ht="11.25" customHeight="1" x14ac:dyDescent="0.3">
      <c r="A232" s="4" t="s">
        <v>21</v>
      </c>
      <c r="B232" s="4" t="s">
        <v>33</v>
      </c>
      <c r="C232" s="4" t="s">
        <v>39</v>
      </c>
      <c r="D232" s="4" t="s">
        <v>34</v>
      </c>
      <c r="E232" s="4" t="s">
        <v>25</v>
      </c>
      <c r="F232" s="4" t="s">
        <v>25</v>
      </c>
      <c r="G232" s="4" t="s">
        <v>25</v>
      </c>
      <c r="H232" s="4" t="s">
        <v>38</v>
      </c>
      <c r="I232" s="5">
        <v>44743</v>
      </c>
      <c r="J232" s="6">
        <v>0</v>
      </c>
      <c r="K232" s="6">
        <v>0</v>
      </c>
      <c r="L232" s="6">
        <v>32.578000000000003</v>
      </c>
      <c r="M232" s="6">
        <v>32.578000000000003</v>
      </c>
      <c r="N232" s="6">
        <v>32.578000000000003</v>
      </c>
      <c r="O232" s="6">
        <v>32.578000000000003</v>
      </c>
      <c r="P232" s="6">
        <v>0</v>
      </c>
      <c r="Q232" s="4" t="s">
        <v>26</v>
      </c>
      <c r="R232" s="4">
        <v>0</v>
      </c>
      <c r="S232" s="4" t="s">
        <v>211</v>
      </c>
      <c r="T232" s="4" t="s">
        <v>372</v>
      </c>
      <c r="U232" s="4">
        <v>0</v>
      </c>
      <c r="V232" s="4">
        <v>24</v>
      </c>
      <c r="W232" s="4">
        <v>60</v>
      </c>
    </row>
    <row r="233" spans="1:23" ht="11.25" customHeight="1" x14ac:dyDescent="0.3">
      <c r="A233" s="4" t="s">
        <v>28</v>
      </c>
      <c r="B233" s="4" t="s">
        <v>33</v>
      </c>
      <c r="C233" s="4" t="s">
        <v>39</v>
      </c>
      <c r="D233" s="4" t="s">
        <v>34</v>
      </c>
      <c r="E233" s="4" t="s">
        <v>25</v>
      </c>
      <c r="F233" s="4" t="s">
        <v>25</v>
      </c>
      <c r="G233" s="4" t="s">
        <v>25</v>
      </c>
      <c r="H233" s="4" t="s">
        <v>38</v>
      </c>
      <c r="I233" s="5">
        <v>44743</v>
      </c>
      <c r="J233" s="6">
        <v>0</v>
      </c>
      <c r="K233" s="6">
        <v>0</v>
      </c>
      <c r="L233" s="6">
        <v>0.17499999999999999</v>
      </c>
      <c r="M233" s="6">
        <v>0.17499999999999999</v>
      </c>
      <c r="N233" s="6">
        <v>0.17499999999999999</v>
      </c>
      <c r="O233" s="6">
        <v>0.17499999999999999</v>
      </c>
      <c r="P233" s="6">
        <v>0</v>
      </c>
      <c r="Q233" s="4" t="s">
        <v>26</v>
      </c>
      <c r="R233" s="4">
        <v>0</v>
      </c>
      <c r="S233" s="4" t="s">
        <v>211</v>
      </c>
      <c r="T233" s="4" t="s">
        <v>372</v>
      </c>
      <c r="U233" s="4">
        <v>0</v>
      </c>
      <c r="V233" s="4">
        <v>24</v>
      </c>
      <c r="W233" s="4">
        <v>60</v>
      </c>
    </row>
    <row r="234" spans="1:23" ht="11.25" customHeight="1" x14ac:dyDescent="0.3">
      <c r="A234" s="4" t="s">
        <v>52</v>
      </c>
      <c r="B234" s="4" t="s">
        <v>33</v>
      </c>
      <c r="C234" s="4" t="s">
        <v>39</v>
      </c>
      <c r="D234" s="4" t="s">
        <v>34</v>
      </c>
      <c r="E234" s="4" t="s">
        <v>25</v>
      </c>
      <c r="F234" s="4" t="s">
        <v>25</v>
      </c>
      <c r="G234" s="4" t="s">
        <v>25</v>
      </c>
      <c r="H234" s="4" t="s">
        <v>38</v>
      </c>
      <c r="I234" s="5">
        <v>44774</v>
      </c>
      <c r="J234" s="6">
        <v>0</v>
      </c>
      <c r="K234" s="6">
        <v>0</v>
      </c>
      <c r="L234" s="6">
        <v>32.578000000000003</v>
      </c>
      <c r="M234" s="6">
        <v>32.578000000000003</v>
      </c>
      <c r="N234" s="6">
        <v>32.578000000000003</v>
      </c>
      <c r="O234" s="6">
        <v>32.578000000000003</v>
      </c>
      <c r="P234" s="6">
        <v>0</v>
      </c>
      <c r="Q234" s="4" t="s">
        <v>26</v>
      </c>
      <c r="R234" s="4">
        <v>0</v>
      </c>
      <c r="S234" s="4" t="s">
        <v>212</v>
      </c>
      <c r="T234" s="4" t="s">
        <v>373</v>
      </c>
      <c r="U234" s="4">
        <v>0</v>
      </c>
      <c r="V234" s="4">
        <v>24</v>
      </c>
      <c r="W234" s="4">
        <v>60</v>
      </c>
    </row>
    <row r="235" spans="1:23" ht="11.25" customHeight="1" x14ac:dyDescent="0.3">
      <c r="A235" s="4" t="s">
        <v>52</v>
      </c>
      <c r="B235" s="4" t="s">
        <v>33</v>
      </c>
      <c r="C235" s="4" t="s">
        <v>39</v>
      </c>
      <c r="D235" s="4" t="s">
        <v>34</v>
      </c>
      <c r="E235" s="4" t="s">
        <v>25</v>
      </c>
      <c r="F235" s="4" t="s">
        <v>25</v>
      </c>
      <c r="G235" s="4" t="s">
        <v>25</v>
      </c>
      <c r="H235" s="4" t="s">
        <v>38</v>
      </c>
      <c r="I235" s="5">
        <v>44774</v>
      </c>
      <c r="J235" s="6">
        <v>0</v>
      </c>
      <c r="K235" s="6">
        <v>0</v>
      </c>
      <c r="L235" s="6">
        <v>0.17499999999999999</v>
      </c>
      <c r="M235" s="6">
        <v>0.17499999999999999</v>
      </c>
      <c r="N235" s="6">
        <v>0.17499999999999999</v>
      </c>
      <c r="O235" s="6">
        <v>0.17499999999999999</v>
      </c>
      <c r="P235" s="6">
        <v>0</v>
      </c>
      <c r="Q235" s="4" t="s">
        <v>26</v>
      </c>
      <c r="R235" s="4">
        <v>0</v>
      </c>
      <c r="S235" s="4" t="s">
        <v>212</v>
      </c>
      <c r="T235" s="4" t="s">
        <v>373</v>
      </c>
      <c r="U235" s="4">
        <v>0</v>
      </c>
      <c r="V235" s="4">
        <v>24</v>
      </c>
      <c r="W235" s="4">
        <v>60</v>
      </c>
    </row>
    <row r="236" spans="1:23" ht="11.25" customHeight="1" x14ac:dyDescent="0.3">
      <c r="A236" s="4" t="s">
        <v>21</v>
      </c>
      <c r="B236" s="4" t="s">
        <v>33</v>
      </c>
      <c r="C236" s="4" t="s">
        <v>39</v>
      </c>
      <c r="D236" s="4" t="s">
        <v>34</v>
      </c>
      <c r="E236" s="4" t="s">
        <v>25</v>
      </c>
      <c r="F236" s="4" t="s">
        <v>25</v>
      </c>
      <c r="G236" s="4" t="s">
        <v>25</v>
      </c>
      <c r="H236" s="4" t="s">
        <v>40</v>
      </c>
      <c r="I236" s="5">
        <v>44440</v>
      </c>
      <c r="J236" s="6">
        <v>0</v>
      </c>
      <c r="K236" s="6">
        <v>0</v>
      </c>
      <c r="L236" s="6">
        <v>0.14399999999999999</v>
      </c>
      <c r="M236" s="6">
        <v>0.14399999999999999</v>
      </c>
      <c r="N236" s="6">
        <v>0.14399999999999999</v>
      </c>
      <c r="O236" s="6">
        <v>0.14399999999999999</v>
      </c>
      <c r="P236" s="6">
        <v>0</v>
      </c>
      <c r="Q236" s="4" t="s">
        <v>26</v>
      </c>
      <c r="R236" s="4">
        <v>0</v>
      </c>
      <c r="S236" s="4" t="s">
        <v>213</v>
      </c>
      <c r="T236" s="4" t="s">
        <v>374</v>
      </c>
      <c r="U236" s="4">
        <v>0</v>
      </c>
      <c r="V236" s="4">
        <v>50</v>
      </c>
      <c r="W236" s="4">
        <v>72</v>
      </c>
    </row>
    <row r="237" spans="1:23" ht="11.25" customHeight="1" x14ac:dyDescent="0.3">
      <c r="A237" s="4" t="s">
        <v>21</v>
      </c>
      <c r="B237" s="4" t="s">
        <v>33</v>
      </c>
      <c r="C237" s="4" t="s">
        <v>39</v>
      </c>
      <c r="D237" s="4" t="s">
        <v>34</v>
      </c>
      <c r="E237" s="4" t="s">
        <v>25</v>
      </c>
      <c r="F237" s="4" t="s">
        <v>25</v>
      </c>
      <c r="G237" s="4" t="s">
        <v>25</v>
      </c>
      <c r="H237" s="4" t="s">
        <v>40</v>
      </c>
      <c r="I237" s="5">
        <v>44470</v>
      </c>
      <c r="J237" s="6">
        <v>0</v>
      </c>
      <c r="K237" s="6">
        <v>0</v>
      </c>
      <c r="L237" s="6">
        <v>0.33</v>
      </c>
      <c r="M237" s="6">
        <v>0.33</v>
      </c>
      <c r="N237" s="6">
        <v>0.33</v>
      </c>
      <c r="O237" s="6">
        <v>0.33</v>
      </c>
      <c r="P237" s="6">
        <v>0</v>
      </c>
      <c r="Q237" s="4" t="s">
        <v>26</v>
      </c>
      <c r="R237" s="4">
        <v>0</v>
      </c>
      <c r="S237" s="4" t="s">
        <v>214</v>
      </c>
      <c r="T237" s="4" t="s">
        <v>375</v>
      </c>
      <c r="U237" s="4">
        <v>0</v>
      </c>
      <c r="V237" s="4">
        <v>50</v>
      </c>
      <c r="W237" s="4">
        <v>72</v>
      </c>
    </row>
    <row r="238" spans="1:23" ht="11.25" customHeight="1" x14ac:dyDescent="0.3">
      <c r="A238" s="4" t="s">
        <v>21</v>
      </c>
      <c r="B238" s="4" t="s">
        <v>33</v>
      </c>
      <c r="C238" s="4" t="s">
        <v>39</v>
      </c>
      <c r="D238" s="4" t="s">
        <v>34</v>
      </c>
      <c r="E238" s="4" t="s">
        <v>25</v>
      </c>
      <c r="F238" s="4" t="s">
        <v>25</v>
      </c>
      <c r="G238" s="4" t="s">
        <v>25</v>
      </c>
      <c r="H238" s="4" t="s">
        <v>40</v>
      </c>
      <c r="I238" s="5">
        <v>44501</v>
      </c>
      <c r="J238" s="6">
        <v>0</v>
      </c>
      <c r="K238" s="6">
        <v>0</v>
      </c>
      <c r="L238" s="6">
        <v>0.14399999999999999</v>
      </c>
      <c r="M238" s="6">
        <v>0.14399999999999999</v>
      </c>
      <c r="N238" s="6">
        <v>0.14399999999999999</v>
      </c>
      <c r="O238" s="6">
        <v>0.14399999999999999</v>
      </c>
      <c r="P238" s="6">
        <v>0</v>
      </c>
      <c r="Q238" s="4" t="s">
        <v>26</v>
      </c>
      <c r="R238" s="4">
        <v>0</v>
      </c>
      <c r="S238" s="4" t="s">
        <v>215</v>
      </c>
      <c r="T238" s="4" t="s">
        <v>376</v>
      </c>
      <c r="U238" s="4">
        <v>0</v>
      </c>
      <c r="V238" s="4">
        <v>50</v>
      </c>
      <c r="W238" s="4">
        <v>72</v>
      </c>
    </row>
    <row r="239" spans="1:23" ht="11.25" customHeight="1" x14ac:dyDescent="0.3">
      <c r="A239" s="4" t="s">
        <v>21</v>
      </c>
      <c r="B239" s="4" t="s">
        <v>33</v>
      </c>
      <c r="C239" s="4" t="s">
        <v>39</v>
      </c>
      <c r="D239" s="4" t="s">
        <v>34</v>
      </c>
      <c r="E239" s="4" t="s">
        <v>25</v>
      </c>
      <c r="F239" s="4" t="s">
        <v>25</v>
      </c>
      <c r="G239" s="4" t="s">
        <v>25</v>
      </c>
      <c r="H239" s="4" t="s">
        <v>40</v>
      </c>
      <c r="I239" s="5">
        <v>44531</v>
      </c>
      <c r="J239" s="6">
        <v>0</v>
      </c>
      <c r="K239" s="6">
        <v>0</v>
      </c>
      <c r="L239" s="6">
        <v>0.185</v>
      </c>
      <c r="M239" s="6">
        <v>0.185</v>
      </c>
      <c r="N239" s="6">
        <v>0.185</v>
      </c>
      <c r="O239" s="6">
        <v>0.185</v>
      </c>
      <c r="P239" s="6">
        <v>0</v>
      </c>
      <c r="Q239" s="4" t="s">
        <v>26</v>
      </c>
      <c r="R239" s="4">
        <v>0</v>
      </c>
      <c r="S239" s="4" t="s">
        <v>216</v>
      </c>
      <c r="T239" s="4" t="s">
        <v>377</v>
      </c>
      <c r="U239" s="4">
        <v>0</v>
      </c>
      <c r="V239" s="4">
        <v>50</v>
      </c>
      <c r="W239" s="4">
        <v>72</v>
      </c>
    </row>
    <row r="240" spans="1:23" ht="11.25" customHeight="1" x14ac:dyDescent="0.3">
      <c r="A240" s="4" t="s">
        <v>21</v>
      </c>
      <c r="B240" s="4" t="s">
        <v>33</v>
      </c>
      <c r="C240" s="4" t="s">
        <v>39</v>
      </c>
      <c r="D240" s="4" t="s">
        <v>34</v>
      </c>
      <c r="E240" s="4" t="s">
        <v>25</v>
      </c>
      <c r="F240" s="4" t="s">
        <v>25</v>
      </c>
      <c r="G240" s="4" t="s">
        <v>25</v>
      </c>
      <c r="H240" s="4" t="s">
        <v>40</v>
      </c>
      <c r="I240" s="5">
        <v>44562</v>
      </c>
      <c r="J240" s="6">
        <v>0</v>
      </c>
      <c r="K240" s="6">
        <v>0</v>
      </c>
      <c r="L240" s="6">
        <v>0.10299999999999999</v>
      </c>
      <c r="M240" s="6">
        <v>0.10299999999999999</v>
      </c>
      <c r="N240" s="6">
        <v>0.10299999999999999</v>
      </c>
      <c r="O240" s="6">
        <v>0.10299999999999999</v>
      </c>
      <c r="P240" s="6">
        <v>0</v>
      </c>
      <c r="Q240" s="4" t="s">
        <v>26</v>
      </c>
      <c r="R240" s="4">
        <v>0</v>
      </c>
      <c r="S240" s="4" t="s">
        <v>217</v>
      </c>
      <c r="T240" s="4" t="s">
        <v>378</v>
      </c>
      <c r="U240" s="4">
        <v>0</v>
      </c>
      <c r="V240" s="4">
        <v>50</v>
      </c>
      <c r="W240" s="4">
        <v>72</v>
      </c>
    </row>
    <row r="241" spans="1:23" ht="11.25" customHeight="1" x14ac:dyDescent="0.3">
      <c r="A241" s="4" t="s">
        <v>21</v>
      </c>
      <c r="B241" s="4" t="s">
        <v>33</v>
      </c>
      <c r="C241" s="4" t="s">
        <v>39</v>
      </c>
      <c r="D241" s="4" t="s">
        <v>34</v>
      </c>
      <c r="E241" s="4" t="s">
        <v>25</v>
      </c>
      <c r="F241" s="4" t="s">
        <v>25</v>
      </c>
      <c r="G241" s="4" t="s">
        <v>25</v>
      </c>
      <c r="H241" s="4" t="s">
        <v>40</v>
      </c>
      <c r="I241" s="5">
        <v>44593</v>
      </c>
      <c r="J241" s="6">
        <v>0</v>
      </c>
      <c r="K241" s="6">
        <v>0</v>
      </c>
      <c r="L241" s="6">
        <v>0.19600000000000001</v>
      </c>
      <c r="M241" s="6">
        <v>0.19600000000000001</v>
      </c>
      <c r="N241" s="6">
        <v>0.19600000000000001</v>
      </c>
      <c r="O241" s="6">
        <v>0.19600000000000001</v>
      </c>
      <c r="P241" s="6">
        <v>0</v>
      </c>
      <c r="Q241" s="4" t="s">
        <v>26</v>
      </c>
      <c r="R241" s="4">
        <v>0</v>
      </c>
      <c r="S241" s="4" t="s">
        <v>218</v>
      </c>
      <c r="T241" s="4" t="s">
        <v>379</v>
      </c>
      <c r="U241" s="4">
        <v>0</v>
      </c>
      <c r="V241" s="4">
        <v>50</v>
      </c>
      <c r="W241" s="4">
        <v>72</v>
      </c>
    </row>
    <row r="242" spans="1:23" ht="11.25" customHeight="1" x14ac:dyDescent="0.3">
      <c r="A242" s="4" t="s">
        <v>21</v>
      </c>
      <c r="B242" s="4" t="s">
        <v>33</v>
      </c>
      <c r="C242" s="4" t="s">
        <v>39</v>
      </c>
      <c r="D242" s="4" t="s">
        <v>34</v>
      </c>
      <c r="E242" s="4" t="s">
        <v>25</v>
      </c>
      <c r="F242" s="4" t="s">
        <v>25</v>
      </c>
      <c r="G242" s="4" t="s">
        <v>25</v>
      </c>
      <c r="H242" s="4" t="s">
        <v>40</v>
      </c>
      <c r="I242" s="5">
        <v>44621</v>
      </c>
      <c r="J242" s="6">
        <v>0</v>
      </c>
      <c r="K242" s="6">
        <v>0</v>
      </c>
      <c r="L242" s="6">
        <v>0.185</v>
      </c>
      <c r="M242" s="6">
        <v>0.185</v>
      </c>
      <c r="N242" s="6">
        <v>0.185</v>
      </c>
      <c r="O242" s="6">
        <v>0.185</v>
      </c>
      <c r="P242" s="6">
        <v>0</v>
      </c>
      <c r="Q242" s="4" t="s">
        <v>26</v>
      </c>
      <c r="R242" s="4">
        <v>0</v>
      </c>
      <c r="S242" s="4" t="s">
        <v>219</v>
      </c>
      <c r="T242" s="4" t="s">
        <v>380</v>
      </c>
      <c r="U242" s="4">
        <v>0</v>
      </c>
      <c r="V242" s="4">
        <v>50</v>
      </c>
      <c r="W242" s="4">
        <v>72</v>
      </c>
    </row>
    <row r="243" spans="1:23" ht="11.25" customHeight="1" x14ac:dyDescent="0.3">
      <c r="A243" s="4" t="s">
        <v>21</v>
      </c>
      <c r="B243" s="4" t="s">
        <v>33</v>
      </c>
      <c r="C243" s="4" t="s">
        <v>39</v>
      </c>
      <c r="D243" s="4" t="s">
        <v>34</v>
      </c>
      <c r="E243" s="4" t="s">
        <v>25</v>
      </c>
      <c r="F243" s="4" t="s">
        <v>25</v>
      </c>
      <c r="G243" s="4" t="s">
        <v>25</v>
      </c>
      <c r="H243" s="4" t="s">
        <v>40</v>
      </c>
      <c r="I243" s="5">
        <v>44652</v>
      </c>
      <c r="J243" s="6">
        <v>0</v>
      </c>
      <c r="K243" s="6">
        <v>0</v>
      </c>
      <c r="L243" s="6">
        <v>0.22600000000000001</v>
      </c>
      <c r="M243" s="6">
        <v>0.22600000000000001</v>
      </c>
      <c r="N243" s="6">
        <v>0.22600000000000001</v>
      </c>
      <c r="O243" s="6">
        <v>0.22600000000000001</v>
      </c>
      <c r="P243" s="6">
        <v>0</v>
      </c>
      <c r="Q243" s="4" t="s">
        <v>26</v>
      </c>
      <c r="R243" s="4">
        <v>0</v>
      </c>
      <c r="S243" s="4" t="s">
        <v>220</v>
      </c>
      <c r="T243" s="4" t="s">
        <v>381</v>
      </c>
      <c r="U243" s="4">
        <v>0</v>
      </c>
      <c r="V243" s="4">
        <v>50</v>
      </c>
      <c r="W243" s="4">
        <v>72</v>
      </c>
    </row>
    <row r="244" spans="1:23" ht="11.25" customHeight="1" x14ac:dyDescent="0.3">
      <c r="A244" s="4" t="s">
        <v>21</v>
      </c>
      <c r="B244" s="4" t="s">
        <v>33</v>
      </c>
      <c r="C244" s="4" t="s">
        <v>39</v>
      </c>
      <c r="D244" s="4" t="s">
        <v>34</v>
      </c>
      <c r="E244" s="4" t="s">
        <v>25</v>
      </c>
      <c r="F244" s="4" t="s">
        <v>25</v>
      </c>
      <c r="G244" s="4" t="s">
        <v>25</v>
      </c>
      <c r="H244" s="4" t="s">
        <v>40</v>
      </c>
      <c r="I244" s="5">
        <v>44682</v>
      </c>
      <c r="J244" s="6">
        <v>0</v>
      </c>
      <c r="K244" s="6">
        <v>0</v>
      </c>
      <c r="L244" s="6">
        <v>0.19600000000000001</v>
      </c>
      <c r="M244" s="6">
        <v>0.19600000000000001</v>
      </c>
      <c r="N244" s="6">
        <v>0.19600000000000001</v>
      </c>
      <c r="O244" s="6">
        <v>0.19600000000000001</v>
      </c>
      <c r="P244" s="6">
        <v>0</v>
      </c>
      <c r="Q244" s="4" t="s">
        <v>26</v>
      </c>
      <c r="R244" s="4">
        <v>0</v>
      </c>
      <c r="S244" s="4" t="s">
        <v>221</v>
      </c>
      <c r="T244" s="4" t="s">
        <v>382</v>
      </c>
      <c r="U244" s="4">
        <v>0</v>
      </c>
      <c r="V244" s="4">
        <v>50</v>
      </c>
      <c r="W244" s="4">
        <v>72</v>
      </c>
    </row>
    <row r="245" spans="1:23" ht="11.25" customHeight="1" x14ac:dyDescent="0.3">
      <c r="A245" s="4" t="s">
        <v>21</v>
      </c>
      <c r="B245" s="4" t="s">
        <v>33</v>
      </c>
      <c r="C245" s="4" t="s">
        <v>39</v>
      </c>
      <c r="D245" s="4" t="s">
        <v>34</v>
      </c>
      <c r="E245" s="4" t="s">
        <v>25</v>
      </c>
      <c r="F245" s="4" t="s">
        <v>25</v>
      </c>
      <c r="G245" s="4" t="s">
        <v>25</v>
      </c>
      <c r="H245" s="4" t="s">
        <v>40</v>
      </c>
      <c r="I245" s="5">
        <v>44713</v>
      </c>
      <c r="J245" s="6">
        <v>0</v>
      </c>
      <c r="K245" s="6">
        <v>0</v>
      </c>
      <c r="L245" s="6">
        <v>0.23599999999999999</v>
      </c>
      <c r="M245" s="6">
        <v>0.23599999999999999</v>
      </c>
      <c r="N245" s="6">
        <v>0.23599999999999999</v>
      </c>
      <c r="O245" s="6">
        <v>0.23599999999999999</v>
      </c>
      <c r="P245" s="6">
        <v>0</v>
      </c>
      <c r="Q245" s="4" t="s">
        <v>26</v>
      </c>
      <c r="R245" s="4">
        <v>0</v>
      </c>
      <c r="S245" s="4" t="s">
        <v>222</v>
      </c>
      <c r="T245" s="4" t="s">
        <v>383</v>
      </c>
      <c r="U245" s="4">
        <v>0</v>
      </c>
      <c r="V245" s="4">
        <v>50</v>
      </c>
      <c r="W245" s="4">
        <v>72</v>
      </c>
    </row>
    <row r="246" spans="1:23" ht="11.25" customHeight="1" x14ac:dyDescent="0.3">
      <c r="A246" s="4" t="s">
        <v>21</v>
      </c>
      <c r="B246" s="4" t="s">
        <v>33</v>
      </c>
      <c r="C246" s="4" t="s">
        <v>39</v>
      </c>
      <c r="D246" s="4" t="s">
        <v>34</v>
      </c>
      <c r="E246" s="4" t="s">
        <v>25</v>
      </c>
      <c r="F246" s="4" t="s">
        <v>25</v>
      </c>
      <c r="G246" s="4" t="s">
        <v>25</v>
      </c>
      <c r="H246" s="4" t="s">
        <v>40</v>
      </c>
      <c r="I246" s="5">
        <v>44743</v>
      </c>
      <c r="J246" s="6">
        <v>0</v>
      </c>
      <c r="K246" s="6">
        <v>0</v>
      </c>
      <c r="L246" s="6">
        <v>0.113</v>
      </c>
      <c r="M246" s="6">
        <v>0.113</v>
      </c>
      <c r="N246" s="6">
        <v>0.113</v>
      </c>
      <c r="O246" s="6">
        <v>0.113</v>
      </c>
      <c r="P246" s="6">
        <v>0</v>
      </c>
      <c r="Q246" s="4" t="s">
        <v>26</v>
      </c>
      <c r="R246" s="4">
        <v>0</v>
      </c>
      <c r="S246" s="4" t="s">
        <v>223</v>
      </c>
      <c r="T246" s="4" t="s">
        <v>384</v>
      </c>
      <c r="U246" s="4">
        <v>0</v>
      </c>
      <c r="V246" s="4">
        <v>50</v>
      </c>
      <c r="W246" s="4">
        <v>72</v>
      </c>
    </row>
    <row r="247" spans="1:23" ht="11.25" customHeight="1" x14ac:dyDescent="0.3">
      <c r="A247" s="4" t="s">
        <v>28</v>
      </c>
      <c r="B247" s="4" t="s">
        <v>33</v>
      </c>
      <c r="C247" s="4" t="s">
        <v>39</v>
      </c>
      <c r="D247" s="4" t="s">
        <v>34</v>
      </c>
      <c r="E247" s="4" t="s">
        <v>25</v>
      </c>
      <c r="F247" s="4" t="s">
        <v>25</v>
      </c>
      <c r="G247" s="4" t="s">
        <v>25</v>
      </c>
      <c r="H247" s="4" t="s">
        <v>40</v>
      </c>
      <c r="I247" s="5">
        <v>44743</v>
      </c>
      <c r="J247" s="6">
        <v>0</v>
      </c>
      <c r="K247" s="6">
        <v>0</v>
      </c>
      <c r="L247" s="6">
        <v>1.2999999999999999E-2</v>
      </c>
      <c r="M247" s="6">
        <v>1.2999999999999999E-2</v>
      </c>
      <c r="N247" s="6">
        <v>1.2999999999999999E-2</v>
      </c>
      <c r="O247" s="6">
        <v>1.2999999999999999E-2</v>
      </c>
      <c r="P247" s="6">
        <v>0</v>
      </c>
      <c r="Q247" s="4" t="s">
        <v>26</v>
      </c>
      <c r="R247" s="4">
        <v>0</v>
      </c>
      <c r="S247" s="4" t="s">
        <v>223</v>
      </c>
      <c r="T247" s="4" t="s">
        <v>384</v>
      </c>
      <c r="U247" s="4">
        <v>0</v>
      </c>
      <c r="V247" s="4">
        <v>50</v>
      </c>
      <c r="W247" s="4">
        <v>72</v>
      </c>
    </row>
    <row r="248" spans="1:23" ht="11.25" customHeight="1" x14ac:dyDescent="0.3">
      <c r="A248" s="4" t="s">
        <v>52</v>
      </c>
      <c r="B248" s="4" t="s">
        <v>33</v>
      </c>
      <c r="C248" s="4" t="s">
        <v>39</v>
      </c>
      <c r="D248" s="4" t="s">
        <v>34</v>
      </c>
      <c r="E248" s="4" t="s">
        <v>25</v>
      </c>
      <c r="F248" s="4" t="s">
        <v>25</v>
      </c>
      <c r="G248" s="4" t="s">
        <v>25</v>
      </c>
      <c r="H248" s="4" t="s">
        <v>40</v>
      </c>
      <c r="I248" s="5">
        <v>44774</v>
      </c>
      <c r="J248" s="6">
        <v>0</v>
      </c>
      <c r="K248" s="6">
        <v>0</v>
      </c>
      <c r="L248" s="6">
        <v>0.113</v>
      </c>
      <c r="M248" s="6">
        <v>0.113</v>
      </c>
      <c r="N248" s="6">
        <v>0.113</v>
      </c>
      <c r="O248" s="6">
        <v>0.113</v>
      </c>
      <c r="P248" s="6">
        <v>0</v>
      </c>
      <c r="Q248" s="4" t="s">
        <v>26</v>
      </c>
      <c r="R248" s="4">
        <v>0</v>
      </c>
      <c r="S248" s="4" t="s">
        <v>224</v>
      </c>
      <c r="T248" s="4" t="s">
        <v>385</v>
      </c>
      <c r="U248" s="4">
        <v>0</v>
      </c>
      <c r="V248" s="4">
        <v>50</v>
      </c>
      <c r="W248" s="4">
        <v>72</v>
      </c>
    </row>
    <row r="249" spans="1:23" ht="11.25" customHeight="1" x14ac:dyDescent="0.3">
      <c r="A249" s="4" t="s">
        <v>52</v>
      </c>
      <c r="B249" s="4" t="s">
        <v>33</v>
      </c>
      <c r="C249" s="4" t="s">
        <v>39</v>
      </c>
      <c r="D249" s="4" t="s">
        <v>34</v>
      </c>
      <c r="E249" s="4" t="s">
        <v>25</v>
      </c>
      <c r="F249" s="4" t="s">
        <v>25</v>
      </c>
      <c r="G249" s="4" t="s">
        <v>25</v>
      </c>
      <c r="H249" s="4" t="s">
        <v>40</v>
      </c>
      <c r="I249" s="5">
        <v>44774</v>
      </c>
      <c r="J249" s="6">
        <v>0</v>
      </c>
      <c r="K249" s="6">
        <v>0</v>
      </c>
      <c r="L249" s="6">
        <v>1.2999999999999999E-2</v>
      </c>
      <c r="M249" s="6">
        <v>1.2999999999999999E-2</v>
      </c>
      <c r="N249" s="6">
        <v>1.2999999999999999E-2</v>
      </c>
      <c r="O249" s="6">
        <v>1.2999999999999999E-2</v>
      </c>
      <c r="P249" s="6">
        <v>0</v>
      </c>
      <c r="Q249" s="4" t="s">
        <v>26</v>
      </c>
      <c r="R249" s="4">
        <v>0</v>
      </c>
      <c r="S249" s="4" t="s">
        <v>224</v>
      </c>
      <c r="T249" s="4" t="s">
        <v>385</v>
      </c>
      <c r="U249" s="4">
        <v>0</v>
      </c>
      <c r="V249" s="4">
        <v>50</v>
      </c>
      <c r="W249" s="4">
        <v>72</v>
      </c>
    </row>
    <row r="250" spans="1:23" ht="11.25" customHeight="1" x14ac:dyDescent="0.3">
      <c r="A250" s="4" t="s">
        <v>21</v>
      </c>
      <c r="B250" s="4" t="s">
        <v>33</v>
      </c>
      <c r="C250" s="4" t="s">
        <v>39</v>
      </c>
      <c r="D250" s="4" t="s">
        <v>34</v>
      </c>
      <c r="E250" s="4" t="s">
        <v>25</v>
      </c>
      <c r="F250" s="4" t="s">
        <v>25</v>
      </c>
      <c r="G250" s="4" t="s">
        <v>25</v>
      </c>
      <c r="H250" s="4" t="s">
        <v>37</v>
      </c>
      <c r="I250" s="5">
        <v>44440</v>
      </c>
      <c r="J250" s="6">
        <v>0</v>
      </c>
      <c r="K250" s="6">
        <v>0</v>
      </c>
      <c r="L250" s="6">
        <v>0.13400000000000001</v>
      </c>
      <c r="M250" s="6">
        <v>0.13400000000000001</v>
      </c>
      <c r="N250" s="6">
        <v>0.13400000000000001</v>
      </c>
      <c r="O250" s="6">
        <v>0.13400000000000001</v>
      </c>
      <c r="P250" s="6">
        <v>0</v>
      </c>
      <c r="Q250" s="4" t="s">
        <v>26</v>
      </c>
      <c r="R250" s="4">
        <v>0</v>
      </c>
      <c r="S250" s="4" t="s">
        <v>225</v>
      </c>
      <c r="T250" s="4" t="s">
        <v>386</v>
      </c>
      <c r="U250" s="4">
        <v>0</v>
      </c>
      <c r="V250" s="4">
        <v>37</v>
      </c>
      <c r="W250" s="4">
        <v>74</v>
      </c>
    </row>
    <row r="251" spans="1:23" ht="11.25" customHeight="1" x14ac:dyDescent="0.3">
      <c r="A251" s="4" t="s">
        <v>21</v>
      </c>
      <c r="B251" s="4" t="s">
        <v>33</v>
      </c>
      <c r="C251" s="4" t="s">
        <v>39</v>
      </c>
      <c r="D251" s="4" t="s">
        <v>34</v>
      </c>
      <c r="E251" s="4" t="s">
        <v>25</v>
      </c>
      <c r="F251" s="4" t="s">
        <v>25</v>
      </c>
      <c r="G251" s="4" t="s">
        <v>25</v>
      </c>
      <c r="H251" s="4" t="s">
        <v>37</v>
      </c>
      <c r="I251" s="5">
        <v>44470</v>
      </c>
      <c r="J251" s="6">
        <v>0</v>
      </c>
      <c r="K251" s="6">
        <v>0</v>
      </c>
      <c r="L251" s="6">
        <v>5.1999999999999998E-2</v>
      </c>
      <c r="M251" s="6">
        <v>5.1999999999999998E-2</v>
      </c>
      <c r="N251" s="6">
        <v>5.1999999999999998E-2</v>
      </c>
      <c r="O251" s="6">
        <v>5.1999999999999998E-2</v>
      </c>
      <c r="P251" s="6">
        <v>0</v>
      </c>
      <c r="Q251" s="4" t="s">
        <v>26</v>
      </c>
      <c r="R251" s="4">
        <v>0</v>
      </c>
      <c r="S251" s="4" t="s">
        <v>226</v>
      </c>
      <c r="T251" s="4" t="s">
        <v>387</v>
      </c>
      <c r="U251" s="4">
        <v>0</v>
      </c>
      <c r="V251" s="4">
        <v>37</v>
      </c>
      <c r="W251" s="4">
        <v>74</v>
      </c>
    </row>
    <row r="252" spans="1:23" ht="11.25" customHeight="1" x14ac:dyDescent="0.3">
      <c r="A252" s="4" t="s">
        <v>21</v>
      </c>
      <c r="B252" s="4" t="s">
        <v>33</v>
      </c>
      <c r="C252" s="4" t="s">
        <v>39</v>
      </c>
      <c r="D252" s="4" t="s">
        <v>34</v>
      </c>
      <c r="E252" s="4" t="s">
        <v>25</v>
      </c>
      <c r="F252" s="4" t="s">
        <v>25</v>
      </c>
      <c r="G252" s="4" t="s">
        <v>25</v>
      </c>
      <c r="H252" s="4" t="s">
        <v>37</v>
      </c>
      <c r="I252" s="5">
        <v>44501</v>
      </c>
      <c r="J252" s="6">
        <v>0</v>
      </c>
      <c r="K252" s="6">
        <v>0</v>
      </c>
      <c r="L252" s="6">
        <v>0.14399999999999999</v>
      </c>
      <c r="M252" s="6">
        <v>0.14399999999999999</v>
      </c>
      <c r="N252" s="6">
        <v>0.14399999999999999</v>
      </c>
      <c r="O252" s="6">
        <v>0.14399999999999999</v>
      </c>
      <c r="P252" s="6">
        <v>0</v>
      </c>
      <c r="Q252" s="4" t="s">
        <v>26</v>
      </c>
      <c r="R252" s="4">
        <v>0</v>
      </c>
      <c r="S252" s="4" t="s">
        <v>227</v>
      </c>
      <c r="T252" s="4" t="s">
        <v>388</v>
      </c>
      <c r="U252" s="4">
        <v>0</v>
      </c>
      <c r="V252" s="4">
        <v>37</v>
      </c>
      <c r="W252" s="4">
        <v>74</v>
      </c>
    </row>
    <row r="253" spans="1:23" ht="11.25" customHeight="1" x14ac:dyDescent="0.3">
      <c r="A253" s="4" t="s">
        <v>21</v>
      </c>
      <c r="B253" s="4" t="s">
        <v>33</v>
      </c>
      <c r="C253" s="4" t="s">
        <v>39</v>
      </c>
      <c r="D253" s="4" t="s">
        <v>34</v>
      </c>
      <c r="E253" s="4" t="s">
        <v>25</v>
      </c>
      <c r="F253" s="4" t="s">
        <v>25</v>
      </c>
      <c r="G253" s="4" t="s">
        <v>25</v>
      </c>
      <c r="H253" s="4" t="s">
        <v>37</v>
      </c>
      <c r="I253" s="5">
        <v>44531</v>
      </c>
      <c r="J253" s="6">
        <v>0</v>
      </c>
      <c r="K253" s="6">
        <v>0</v>
      </c>
      <c r="L253" s="6">
        <v>5.1999999999999998E-2</v>
      </c>
      <c r="M253" s="6">
        <v>5.1999999999999998E-2</v>
      </c>
      <c r="N253" s="6">
        <v>5.1999999999999998E-2</v>
      </c>
      <c r="O253" s="6">
        <v>5.1999999999999998E-2</v>
      </c>
      <c r="P253" s="6">
        <v>0</v>
      </c>
      <c r="Q253" s="4" t="s">
        <v>26</v>
      </c>
      <c r="R253" s="4">
        <v>0</v>
      </c>
      <c r="S253" s="4" t="s">
        <v>228</v>
      </c>
      <c r="T253" s="4" t="s">
        <v>389</v>
      </c>
      <c r="U253" s="4">
        <v>0</v>
      </c>
      <c r="V253" s="4">
        <v>37</v>
      </c>
      <c r="W253" s="4">
        <v>74</v>
      </c>
    </row>
    <row r="254" spans="1:23" ht="11.25" customHeight="1" x14ac:dyDescent="0.3">
      <c r="A254" s="4" t="s">
        <v>21</v>
      </c>
      <c r="B254" s="4" t="s">
        <v>33</v>
      </c>
      <c r="C254" s="4" t="s">
        <v>39</v>
      </c>
      <c r="D254" s="4" t="s">
        <v>34</v>
      </c>
      <c r="E254" s="4" t="s">
        <v>25</v>
      </c>
      <c r="F254" s="4" t="s">
        <v>25</v>
      </c>
      <c r="G254" s="4" t="s">
        <v>25</v>
      </c>
      <c r="H254" s="4" t="s">
        <v>37</v>
      </c>
      <c r="I254" s="5">
        <v>44562</v>
      </c>
      <c r="J254" s="6">
        <v>0</v>
      </c>
      <c r="K254" s="6">
        <v>0</v>
      </c>
      <c r="L254" s="6">
        <v>7.2999999999999995E-2</v>
      </c>
      <c r="M254" s="6">
        <v>7.2999999999999995E-2</v>
      </c>
      <c r="N254" s="6">
        <v>7.2999999999999995E-2</v>
      </c>
      <c r="O254" s="6">
        <v>7.2999999999999995E-2</v>
      </c>
      <c r="P254" s="6">
        <v>0</v>
      </c>
      <c r="Q254" s="4" t="s">
        <v>26</v>
      </c>
      <c r="R254" s="4">
        <v>0</v>
      </c>
      <c r="S254" s="4" t="s">
        <v>229</v>
      </c>
      <c r="T254" s="4" t="s">
        <v>390</v>
      </c>
      <c r="U254" s="4">
        <v>0</v>
      </c>
      <c r="V254" s="4">
        <v>37</v>
      </c>
      <c r="W254" s="4">
        <v>74</v>
      </c>
    </row>
    <row r="255" spans="1:23" ht="11.25" customHeight="1" x14ac:dyDescent="0.3">
      <c r="A255" s="4" t="s">
        <v>21</v>
      </c>
      <c r="B255" s="4" t="s">
        <v>33</v>
      </c>
      <c r="C255" s="4" t="s">
        <v>39</v>
      </c>
      <c r="D255" s="4" t="s">
        <v>34</v>
      </c>
      <c r="E255" s="4" t="s">
        <v>25</v>
      </c>
      <c r="F255" s="4" t="s">
        <v>25</v>
      </c>
      <c r="G255" s="4" t="s">
        <v>25</v>
      </c>
      <c r="H255" s="4" t="s">
        <v>37</v>
      </c>
      <c r="I255" s="5">
        <v>44593</v>
      </c>
      <c r="J255" s="6">
        <v>0</v>
      </c>
      <c r="K255" s="6">
        <v>0</v>
      </c>
      <c r="L255" s="6">
        <v>7.1999999999999995E-2</v>
      </c>
      <c r="M255" s="6">
        <v>7.1999999999999995E-2</v>
      </c>
      <c r="N255" s="6">
        <v>7.1999999999999995E-2</v>
      </c>
      <c r="O255" s="6">
        <v>7.1999999999999995E-2</v>
      </c>
      <c r="P255" s="6">
        <v>0</v>
      </c>
      <c r="Q255" s="4" t="s">
        <v>26</v>
      </c>
      <c r="R255" s="4">
        <v>0</v>
      </c>
      <c r="S255" s="4" t="s">
        <v>230</v>
      </c>
      <c r="T255" s="4" t="s">
        <v>391</v>
      </c>
      <c r="U255" s="4">
        <v>0</v>
      </c>
      <c r="V255" s="4">
        <v>37</v>
      </c>
      <c r="W255" s="4">
        <v>74</v>
      </c>
    </row>
    <row r="256" spans="1:23" ht="11.25" customHeight="1" x14ac:dyDescent="0.3">
      <c r="A256" s="4" t="s">
        <v>21</v>
      </c>
      <c r="B256" s="4" t="s">
        <v>33</v>
      </c>
      <c r="C256" s="4" t="s">
        <v>39</v>
      </c>
      <c r="D256" s="4" t="s">
        <v>34</v>
      </c>
      <c r="E256" s="4" t="s">
        <v>25</v>
      </c>
      <c r="F256" s="4" t="s">
        <v>25</v>
      </c>
      <c r="G256" s="4" t="s">
        <v>25</v>
      </c>
      <c r="H256" s="4" t="s">
        <v>37</v>
      </c>
      <c r="I256" s="5">
        <v>44621</v>
      </c>
      <c r="J256" s="6">
        <v>0</v>
      </c>
      <c r="K256" s="6">
        <v>0</v>
      </c>
      <c r="L256" s="6">
        <v>7.2999999999999995E-2</v>
      </c>
      <c r="M256" s="6">
        <v>7.2999999999999995E-2</v>
      </c>
      <c r="N256" s="6">
        <v>7.2999999999999995E-2</v>
      </c>
      <c r="O256" s="6">
        <v>7.2999999999999995E-2</v>
      </c>
      <c r="P256" s="6">
        <v>0</v>
      </c>
      <c r="Q256" s="4" t="s">
        <v>26</v>
      </c>
      <c r="R256" s="4">
        <v>0</v>
      </c>
      <c r="S256" s="4" t="s">
        <v>231</v>
      </c>
      <c r="T256" s="4" t="s">
        <v>392</v>
      </c>
      <c r="U256" s="4">
        <v>0</v>
      </c>
      <c r="V256" s="4">
        <v>37</v>
      </c>
      <c r="W256" s="4">
        <v>74</v>
      </c>
    </row>
    <row r="257" spans="1:23" ht="11.25" customHeight="1" x14ac:dyDescent="0.3">
      <c r="A257" s="4" t="s">
        <v>21</v>
      </c>
      <c r="B257" s="4" t="s">
        <v>33</v>
      </c>
      <c r="C257" s="4" t="s">
        <v>39</v>
      </c>
      <c r="D257" s="4" t="s">
        <v>34</v>
      </c>
      <c r="E257" s="4" t="s">
        <v>25</v>
      </c>
      <c r="F257" s="4" t="s">
        <v>25</v>
      </c>
      <c r="G257" s="4" t="s">
        <v>25</v>
      </c>
      <c r="H257" s="4" t="s">
        <v>37</v>
      </c>
      <c r="I257" s="5">
        <v>44652</v>
      </c>
      <c r="J257" s="6">
        <v>0</v>
      </c>
      <c r="K257" s="6">
        <v>0</v>
      </c>
      <c r="L257" s="6">
        <v>0.10299999999999999</v>
      </c>
      <c r="M257" s="6">
        <v>0.10299999999999999</v>
      </c>
      <c r="N257" s="6">
        <v>0.10299999999999999</v>
      </c>
      <c r="O257" s="6">
        <v>0.10299999999999999</v>
      </c>
      <c r="P257" s="6">
        <v>0</v>
      </c>
      <c r="Q257" s="4" t="s">
        <v>26</v>
      </c>
      <c r="R257" s="4">
        <v>0</v>
      </c>
      <c r="S257" s="4" t="s">
        <v>232</v>
      </c>
      <c r="T257" s="4" t="s">
        <v>393</v>
      </c>
      <c r="U257" s="4">
        <v>0</v>
      </c>
      <c r="V257" s="4">
        <v>37</v>
      </c>
      <c r="W257" s="4">
        <v>74</v>
      </c>
    </row>
    <row r="258" spans="1:23" ht="11.25" customHeight="1" x14ac:dyDescent="0.3">
      <c r="A258" s="4" t="s">
        <v>21</v>
      </c>
      <c r="B258" s="4" t="s">
        <v>33</v>
      </c>
      <c r="C258" s="4" t="s">
        <v>39</v>
      </c>
      <c r="D258" s="4" t="s">
        <v>34</v>
      </c>
      <c r="E258" s="4" t="s">
        <v>25</v>
      </c>
      <c r="F258" s="4" t="s">
        <v>25</v>
      </c>
      <c r="G258" s="4" t="s">
        <v>25</v>
      </c>
      <c r="H258" s="4" t="s">
        <v>37</v>
      </c>
      <c r="I258" s="5">
        <v>44682</v>
      </c>
      <c r="J258" s="6">
        <v>0</v>
      </c>
      <c r="K258" s="6">
        <v>0</v>
      </c>
      <c r="L258" s="6">
        <v>3.2000000000000001E-2</v>
      </c>
      <c r="M258" s="6">
        <v>3.2000000000000001E-2</v>
      </c>
      <c r="N258" s="6">
        <v>3.2000000000000001E-2</v>
      </c>
      <c r="O258" s="6">
        <v>3.2000000000000001E-2</v>
      </c>
      <c r="P258" s="6">
        <v>0</v>
      </c>
      <c r="Q258" s="4" t="s">
        <v>26</v>
      </c>
      <c r="R258" s="4">
        <v>0</v>
      </c>
      <c r="S258" s="4" t="s">
        <v>233</v>
      </c>
      <c r="T258" s="4" t="s">
        <v>394</v>
      </c>
      <c r="U258" s="4">
        <v>0</v>
      </c>
      <c r="V258" s="4">
        <v>37</v>
      </c>
      <c r="W258" s="4">
        <v>74</v>
      </c>
    </row>
    <row r="259" spans="1:23" ht="11.25" customHeight="1" x14ac:dyDescent="0.3">
      <c r="A259" s="4" t="s">
        <v>21</v>
      </c>
      <c r="B259" s="4" t="s">
        <v>33</v>
      </c>
      <c r="C259" s="4" t="s">
        <v>39</v>
      </c>
      <c r="D259" s="4" t="s">
        <v>34</v>
      </c>
      <c r="E259" s="4" t="s">
        <v>25</v>
      </c>
      <c r="F259" s="4" t="s">
        <v>25</v>
      </c>
      <c r="G259" s="4" t="s">
        <v>25</v>
      </c>
      <c r="H259" s="4" t="s">
        <v>37</v>
      </c>
      <c r="I259" s="5">
        <v>44713</v>
      </c>
      <c r="J259" s="6">
        <v>0</v>
      </c>
      <c r="K259" s="6">
        <v>0</v>
      </c>
      <c r="L259" s="6">
        <v>9.1999999999999998E-2</v>
      </c>
      <c r="M259" s="6">
        <v>9.1999999999999998E-2</v>
      </c>
      <c r="N259" s="6">
        <v>9.1999999999999998E-2</v>
      </c>
      <c r="O259" s="6">
        <v>9.1999999999999998E-2</v>
      </c>
      <c r="P259" s="6">
        <v>0</v>
      </c>
      <c r="Q259" s="4" t="s">
        <v>26</v>
      </c>
      <c r="R259" s="4">
        <v>0</v>
      </c>
      <c r="S259" s="4" t="s">
        <v>234</v>
      </c>
      <c r="T259" s="4" t="s">
        <v>395</v>
      </c>
      <c r="U259" s="4">
        <v>0</v>
      </c>
      <c r="V259" s="4">
        <v>37</v>
      </c>
      <c r="W259" s="4">
        <v>74</v>
      </c>
    </row>
    <row r="260" spans="1:23" ht="11.25" customHeight="1" x14ac:dyDescent="0.3">
      <c r="A260" s="4" t="s">
        <v>21</v>
      </c>
      <c r="B260" s="4" t="s">
        <v>33</v>
      </c>
      <c r="C260" s="4" t="s">
        <v>39</v>
      </c>
      <c r="D260" s="4" t="s">
        <v>34</v>
      </c>
      <c r="E260" s="4" t="s">
        <v>25</v>
      </c>
      <c r="F260" s="4" t="s">
        <v>25</v>
      </c>
      <c r="G260" s="4" t="s">
        <v>25</v>
      </c>
      <c r="H260" s="4" t="s">
        <v>37</v>
      </c>
      <c r="I260" s="5">
        <v>44743</v>
      </c>
      <c r="J260" s="6">
        <v>0</v>
      </c>
      <c r="K260" s="6">
        <v>0</v>
      </c>
      <c r="L260" s="6">
        <v>9.2999999999999999E-2</v>
      </c>
      <c r="M260" s="6">
        <v>9.2999999999999999E-2</v>
      </c>
      <c r="N260" s="6">
        <v>9.2999999999999999E-2</v>
      </c>
      <c r="O260" s="6">
        <v>9.2999999999999999E-2</v>
      </c>
      <c r="P260" s="6">
        <v>0</v>
      </c>
      <c r="Q260" s="4" t="s">
        <v>26</v>
      </c>
      <c r="R260" s="4">
        <v>0</v>
      </c>
      <c r="S260" s="4" t="s">
        <v>235</v>
      </c>
      <c r="T260" s="4" t="s">
        <v>396</v>
      </c>
      <c r="U260" s="4">
        <v>0</v>
      </c>
      <c r="V260" s="4">
        <v>37</v>
      </c>
      <c r="W260" s="4">
        <v>74</v>
      </c>
    </row>
    <row r="261" spans="1:23" ht="11.25" customHeight="1" x14ac:dyDescent="0.3">
      <c r="A261" s="4" t="s">
        <v>28</v>
      </c>
      <c r="B261" s="4" t="s">
        <v>33</v>
      </c>
      <c r="C261" s="4" t="s">
        <v>39</v>
      </c>
      <c r="D261" s="4" t="s">
        <v>34</v>
      </c>
      <c r="E261" s="4" t="s">
        <v>25</v>
      </c>
      <c r="F261" s="4" t="s">
        <v>25</v>
      </c>
      <c r="G261" s="4" t="s">
        <v>25</v>
      </c>
      <c r="H261" s="4" t="s">
        <v>37</v>
      </c>
      <c r="I261" s="5">
        <v>44743</v>
      </c>
      <c r="J261" s="6">
        <v>0</v>
      </c>
      <c r="K261" s="6">
        <v>0</v>
      </c>
      <c r="L261" s="6">
        <v>0.02</v>
      </c>
      <c r="M261" s="6">
        <v>0.02</v>
      </c>
      <c r="N261" s="6">
        <v>0.02</v>
      </c>
      <c r="O261" s="6">
        <v>0.02</v>
      </c>
      <c r="P261" s="6">
        <v>0</v>
      </c>
      <c r="Q261" s="4" t="s">
        <v>26</v>
      </c>
      <c r="R261" s="4">
        <v>0</v>
      </c>
      <c r="S261" s="4" t="s">
        <v>235</v>
      </c>
      <c r="T261" s="4" t="s">
        <v>396</v>
      </c>
      <c r="U261" s="4">
        <v>0</v>
      </c>
      <c r="V261" s="4">
        <v>37</v>
      </c>
      <c r="W261" s="4">
        <v>74</v>
      </c>
    </row>
    <row r="262" spans="1:23" ht="11.25" customHeight="1" x14ac:dyDescent="0.3">
      <c r="A262" s="4" t="s">
        <v>52</v>
      </c>
      <c r="B262" s="4" t="s">
        <v>33</v>
      </c>
      <c r="C262" s="4" t="s">
        <v>39</v>
      </c>
      <c r="D262" s="4" t="s">
        <v>34</v>
      </c>
      <c r="E262" s="4" t="s">
        <v>25</v>
      </c>
      <c r="F262" s="4" t="s">
        <v>25</v>
      </c>
      <c r="G262" s="4" t="s">
        <v>25</v>
      </c>
      <c r="H262" s="4" t="s">
        <v>37</v>
      </c>
      <c r="I262" s="5">
        <v>44774</v>
      </c>
      <c r="J262" s="6">
        <v>0</v>
      </c>
      <c r="K262" s="6">
        <v>0</v>
      </c>
      <c r="L262" s="6">
        <v>9.2999999999999999E-2</v>
      </c>
      <c r="M262" s="6">
        <v>9.2999999999999999E-2</v>
      </c>
      <c r="N262" s="6">
        <v>9.2999999999999999E-2</v>
      </c>
      <c r="O262" s="6">
        <v>9.2999999999999999E-2</v>
      </c>
      <c r="P262" s="6">
        <v>0</v>
      </c>
      <c r="Q262" s="4" t="s">
        <v>26</v>
      </c>
      <c r="R262" s="4">
        <v>0</v>
      </c>
      <c r="S262" s="4" t="s">
        <v>236</v>
      </c>
      <c r="T262" s="4" t="s">
        <v>397</v>
      </c>
      <c r="U262" s="4">
        <v>0</v>
      </c>
      <c r="V262" s="4">
        <v>37</v>
      </c>
      <c r="W262" s="4">
        <v>74</v>
      </c>
    </row>
    <row r="263" spans="1:23" ht="11.25" customHeight="1" x14ac:dyDescent="0.3">
      <c r="A263" s="4" t="s">
        <v>52</v>
      </c>
      <c r="B263" s="4" t="s">
        <v>33</v>
      </c>
      <c r="C263" s="4" t="s">
        <v>39</v>
      </c>
      <c r="D263" s="4" t="s">
        <v>34</v>
      </c>
      <c r="E263" s="4" t="s">
        <v>25</v>
      </c>
      <c r="F263" s="4" t="s">
        <v>25</v>
      </c>
      <c r="G263" s="4" t="s">
        <v>25</v>
      </c>
      <c r="H263" s="4" t="s">
        <v>37</v>
      </c>
      <c r="I263" s="5">
        <v>44774</v>
      </c>
      <c r="J263" s="6">
        <v>0</v>
      </c>
      <c r="K263" s="6">
        <v>0</v>
      </c>
      <c r="L263" s="6">
        <v>0.02</v>
      </c>
      <c r="M263" s="6">
        <v>0.02</v>
      </c>
      <c r="N263" s="6">
        <v>0.02</v>
      </c>
      <c r="O263" s="6">
        <v>0.02</v>
      </c>
      <c r="P263" s="6">
        <v>0</v>
      </c>
      <c r="Q263" s="4" t="s">
        <v>26</v>
      </c>
      <c r="R263" s="4">
        <v>0</v>
      </c>
      <c r="S263" s="4" t="s">
        <v>236</v>
      </c>
      <c r="T263" s="4" t="s">
        <v>397</v>
      </c>
      <c r="U263" s="4">
        <v>0</v>
      </c>
      <c r="V263" s="4">
        <v>37</v>
      </c>
      <c r="W263" s="4">
        <v>74</v>
      </c>
    </row>
    <row r="264" spans="1:23" ht="11.25" customHeight="1" x14ac:dyDescent="0.3">
      <c r="A264" s="4" t="s">
        <v>21</v>
      </c>
      <c r="B264" s="4" t="s">
        <v>33</v>
      </c>
      <c r="C264" s="4" t="s">
        <v>23</v>
      </c>
      <c r="D264" s="4" t="s">
        <v>41</v>
      </c>
      <c r="E264" s="4" t="s">
        <v>25</v>
      </c>
      <c r="F264" s="4" t="s">
        <v>25</v>
      </c>
      <c r="G264" s="4" t="s">
        <v>25</v>
      </c>
      <c r="H264" s="4" t="s">
        <v>25</v>
      </c>
      <c r="I264" s="5">
        <v>44440</v>
      </c>
      <c r="J264" s="6">
        <v>0</v>
      </c>
      <c r="K264" s="6">
        <v>0</v>
      </c>
      <c r="L264" s="6">
        <v>86.62</v>
      </c>
      <c r="M264" s="6">
        <v>86.62</v>
      </c>
      <c r="N264" s="6">
        <v>86.62</v>
      </c>
      <c r="O264" s="6">
        <v>86.62</v>
      </c>
      <c r="P264" s="6">
        <v>277</v>
      </c>
      <c r="Q264" s="4" t="s">
        <v>26</v>
      </c>
      <c r="R264" s="4">
        <v>0</v>
      </c>
      <c r="S264" s="4" t="s">
        <v>237</v>
      </c>
      <c r="T264" s="4" t="s">
        <v>398</v>
      </c>
      <c r="U264" s="4">
        <v>0</v>
      </c>
      <c r="V264" s="4">
        <v>28</v>
      </c>
      <c r="W264" s="4">
        <v>76</v>
      </c>
    </row>
    <row r="265" spans="1:23" ht="11.25" customHeight="1" x14ac:dyDescent="0.3">
      <c r="A265" s="4" t="s">
        <v>28</v>
      </c>
      <c r="B265" s="4" t="s">
        <v>33</v>
      </c>
      <c r="C265" s="4" t="s">
        <v>23</v>
      </c>
      <c r="D265" s="4" t="s">
        <v>41</v>
      </c>
      <c r="E265" s="4" t="s">
        <v>25</v>
      </c>
      <c r="F265" s="4" t="s">
        <v>25</v>
      </c>
      <c r="G265" s="4" t="s">
        <v>25</v>
      </c>
      <c r="H265" s="4" t="s">
        <v>25</v>
      </c>
      <c r="I265" s="5">
        <v>44440</v>
      </c>
      <c r="J265" s="6">
        <v>0</v>
      </c>
      <c r="K265" s="6">
        <v>0</v>
      </c>
      <c r="L265" s="6">
        <v>0.5</v>
      </c>
      <c r="M265" s="6">
        <v>0.5</v>
      </c>
      <c r="N265" s="6">
        <v>0.5</v>
      </c>
      <c r="O265" s="6">
        <v>0.5</v>
      </c>
      <c r="P265" s="6">
        <v>5</v>
      </c>
      <c r="Q265" s="4" t="s">
        <v>26</v>
      </c>
      <c r="R265" s="4">
        <v>0</v>
      </c>
      <c r="S265" s="4" t="s">
        <v>237</v>
      </c>
      <c r="T265" s="4" t="s">
        <v>398</v>
      </c>
      <c r="U265" s="4">
        <v>0</v>
      </c>
      <c r="V265" s="4">
        <v>28</v>
      </c>
      <c r="W265" s="4">
        <v>76</v>
      </c>
    </row>
    <row r="266" spans="1:23" ht="11.25" customHeight="1" x14ac:dyDescent="0.3">
      <c r="A266" s="4" t="s">
        <v>21</v>
      </c>
      <c r="B266" s="4" t="s">
        <v>33</v>
      </c>
      <c r="C266" s="4" t="s">
        <v>23</v>
      </c>
      <c r="D266" s="4" t="s">
        <v>41</v>
      </c>
      <c r="E266" s="4" t="s">
        <v>25</v>
      </c>
      <c r="F266" s="4" t="s">
        <v>25</v>
      </c>
      <c r="G266" s="4" t="s">
        <v>25</v>
      </c>
      <c r="H266" s="4" t="s">
        <v>25</v>
      </c>
      <c r="I266" s="5">
        <v>44470</v>
      </c>
      <c r="J266" s="6">
        <v>0</v>
      </c>
      <c r="K266" s="6">
        <v>0</v>
      </c>
      <c r="L266" s="6">
        <v>96.47</v>
      </c>
      <c r="M266" s="6">
        <v>96.47</v>
      </c>
      <c r="N266" s="6">
        <v>96.47</v>
      </c>
      <c r="O266" s="6">
        <v>96.47</v>
      </c>
      <c r="P266" s="6">
        <v>277</v>
      </c>
      <c r="Q266" s="4" t="s">
        <v>26</v>
      </c>
      <c r="R266" s="4">
        <v>0</v>
      </c>
      <c r="S266" s="4" t="s">
        <v>238</v>
      </c>
      <c r="T266" s="4" t="s">
        <v>399</v>
      </c>
      <c r="U266" s="4">
        <v>0</v>
      </c>
      <c r="V266" s="4">
        <v>28</v>
      </c>
      <c r="W266" s="4">
        <v>76</v>
      </c>
    </row>
    <row r="267" spans="1:23" ht="11.25" customHeight="1" x14ac:dyDescent="0.3">
      <c r="A267" s="4" t="s">
        <v>28</v>
      </c>
      <c r="B267" s="4" t="s">
        <v>33</v>
      </c>
      <c r="C267" s="4" t="s">
        <v>23</v>
      </c>
      <c r="D267" s="4" t="s">
        <v>41</v>
      </c>
      <c r="E267" s="4" t="s">
        <v>25</v>
      </c>
      <c r="F267" s="4" t="s">
        <v>25</v>
      </c>
      <c r="G267" s="4" t="s">
        <v>25</v>
      </c>
      <c r="H267" s="4" t="s">
        <v>25</v>
      </c>
      <c r="I267" s="5">
        <v>44470</v>
      </c>
      <c r="J267" s="6">
        <v>0</v>
      </c>
      <c r="K267" s="6">
        <v>0</v>
      </c>
      <c r="L267" s="6">
        <v>0.69199999999999995</v>
      </c>
      <c r="M267" s="6">
        <v>0.69199999999999995</v>
      </c>
      <c r="N267" s="6">
        <v>0.69199999999999995</v>
      </c>
      <c r="O267" s="6">
        <v>0.69199999999999995</v>
      </c>
      <c r="P267" s="6">
        <v>6</v>
      </c>
      <c r="Q267" s="4" t="s">
        <v>26</v>
      </c>
      <c r="R267" s="4">
        <v>0</v>
      </c>
      <c r="S267" s="4" t="s">
        <v>238</v>
      </c>
      <c r="T267" s="4" t="s">
        <v>399</v>
      </c>
      <c r="U267" s="4">
        <v>0</v>
      </c>
      <c r="V267" s="4">
        <v>28</v>
      </c>
      <c r="W267" s="4">
        <v>76</v>
      </c>
    </row>
    <row r="268" spans="1:23" ht="11.25" customHeight="1" x14ac:dyDescent="0.3">
      <c r="A268" s="4" t="s">
        <v>21</v>
      </c>
      <c r="B268" s="4" t="s">
        <v>33</v>
      </c>
      <c r="C268" s="4" t="s">
        <v>23</v>
      </c>
      <c r="D268" s="4" t="s">
        <v>41</v>
      </c>
      <c r="E268" s="4" t="s">
        <v>25</v>
      </c>
      <c r="F268" s="4" t="s">
        <v>25</v>
      </c>
      <c r="G268" s="4" t="s">
        <v>25</v>
      </c>
      <c r="H268" s="4" t="s">
        <v>25</v>
      </c>
      <c r="I268" s="5">
        <v>44501</v>
      </c>
      <c r="J268" s="6">
        <v>0</v>
      </c>
      <c r="K268" s="6">
        <v>0</v>
      </c>
      <c r="L268" s="6">
        <v>99.683000000000007</v>
      </c>
      <c r="M268" s="6">
        <v>99.683000000000007</v>
      </c>
      <c r="N268" s="6">
        <v>99.683000000000007</v>
      </c>
      <c r="O268" s="6">
        <v>99.683000000000007</v>
      </c>
      <c r="P268" s="6">
        <v>278</v>
      </c>
      <c r="Q268" s="4" t="s">
        <v>26</v>
      </c>
      <c r="R268" s="4">
        <v>0</v>
      </c>
      <c r="S268" s="4" t="s">
        <v>239</v>
      </c>
      <c r="T268" s="4" t="s">
        <v>400</v>
      </c>
      <c r="U268" s="4">
        <v>0</v>
      </c>
      <c r="V268" s="4">
        <v>28</v>
      </c>
      <c r="W268" s="4">
        <v>76</v>
      </c>
    </row>
    <row r="269" spans="1:23" ht="11.25" customHeight="1" x14ac:dyDescent="0.3">
      <c r="A269" s="4" t="s">
        <v>21</v>
      </c>
      <c r="B269" s="4" t="s">
        <v>33</v>
      </c>
      <c r="C269" s="4" t="s">
        <v>23</v>
      </c>
      <c r="D269" s="4" t="s">
        <v>41</v>
      </c>
      <c r="E269" s="4" t="s">
        <v>25</v>
      </c>
      <c r="F269" s="4" t="s">
        <v>25</v>
      </c>
      <c r="G269" s="4" t="s">
        <v>25</v>
      </c>
      <c r="H269" s="4" t="s">
        <v>25</v>
      </c>
      <c r="I269" s="5">
        <v>44531</v>
      </c>
      <c r="J269" s="6">
        <v>0</v>
      </c>
      <c r="K269" s="6">
        <v>0</v>
      </c>
      <c r="L269" s="6">
        <v>98.341999999999999</v>
      </c>
      <c r="M269" s="6">
        <v>98.341999999999999</v>
      </c>
      <c r="N269" s="6">
        <v>98.341999999999999</v>
      </c>
      <c r="O269" s="6">
        <v>98.341999999999999</v>
      </c>
      <c r="P269" s="6">
        <v>274</v>
      </c>
      <c r="Q269" s="4" t="s">
        <v>26</v>
      </c>
      <c r="R269" s="4">
        <v>0</v>
      </c>
      <c r="S269" s="4" t="s">
        <v>240</v>
      </c>
      <c r="T269" s="4" t="s">
        <v>401</v>
      </c>
      <c r="U269" s="4">
        <v>0</v>
      </c>
      <c r="V269" s="4">
        <v>28</v>
      </c>
      <c r="W269" s="4">
        <v>76</v>
      </c>
    </row>
    <row r="270" spans="1:23" ht="11.25" customHeight="1" x14ac:dyDescent="0.3">
      <c r="A270" s="4" t="s">
        <v>28</v>
      </c>
      <c r="B270" s="4" t="s">
        <v>33</v>
      </c>
      <c r="C270" s="4" t="s">
        <v>23</v>
      </c>
      <c r="D270" s="4" t="s">
        <v>41</v>
      </c>
      <c r="E270" s="4" t="s">
        <v>25</v>
      </c>
      <c r="F270" s="4" t="s">
        <v>25</v>
      </c>
      <c r="G270" s="4" t="s">
        <v>25</v>
      </c>
      <c r="H270" s="4" t="s">
        <v>25</v>
      </c>
      <c r="I270" s="5">
        <v>44531</v>
      </c>
      <c r="J270" s="6">
        <v>0</v>
      </c>
      <c r="K270" s="6">
        <v>0</v>
      </c>
      <c r="L270" s="6">
        <v>0.80700000000000005</v>
      </c>
      <c r="M270" s="6">
        <v>0.80700000000000005</v>
      </c>
      <c r="N270" s="6">
        <v>0.80700000000000005</v>
      </c>
      <c r="O270" s="6">
        <v>0.80700000000000005</v>
      </c>
      <c r="P270" s="6">
        <v>6</v>
      </c>
      <c r="Q270" s="4" t="s">
        <v>26</v>
      </c>
      <c r="R270" s="4">
        <v>0</v>
      </c>
      <c r="S270" s="4" t="s">
        <v>240</v>
      </c>
      <c r="T270" s="4" t="s">
        <v>401</v>
      </c>
      <c r="U270" s="4">
        <v>0</v>
      </c>
      <c r="V270" s="4">
        <v>28</v>
      </c>
      <c r="W270" s="4">
        <v>76</v>
      </c>
    </row>
    <row r="271" spans="1:23" ht="11.25" customHeight="1" x14ac:dyDescent="0.3">
      <c r="A271" s="4" t="s">
        <v>21</v>
      </c>
      <c r="B271" s="4" t="s">
        <v>33</v>
      </c>
      <c r="C271" s="4" t="s">
        <v>23</v>
      </c>
      <c r="D271" s="4" t="s">
        <v>41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44562</v>
      </c>
      <c r="J271" s="6">
        <v>0</v>
      </c>
      <c r="K271" s="6">
        <v>0</v>
      </c>
      <c r="L271" s="6">
        <v>90.893000000000001</v>
      </c>
      <c r="M271" s="6">
        <v>90.893000000000001</v>
      </c>
      <c r="N271" s="6">
        <v>90.893000000000001</v>
      </c>
      <c r="O271" s="6">
        <v>90.893000000000001</v>
      </c>
      <c r="P271" s="6">
        <v>267</v>
      </c>
      <c r="Q271" s="4" t="s">
        <v>26</v>
      </c>
      <c r="R271" s="4">
        <v>0</v>
      </c>
      <c r="S271" s="4" t="s">
        <v>241</v>
      </c>
      <c r="T271" s="4" t="s">
        <v>402</v>
      </c>
      <c r="U271" s="4">
        <v>0</v>
      </c>
      <c r="V271" s="4">
        <v>28</v>
      </c>
      <c r="W271" s="4">
        <v>76</v>
      </c>
    </row>
    <row r="272" spans="1:23" ht="11.25" customHeight="1" x14ac:dyDescent="0.3">
      <c r="A272" s="4" t="s">
        <v>28</v>
      </c>
      <c r="B272" s="4" t="s">
        <v>33</v>
      </c>
      <c r="C272" s="4" t="s">
        <v>23</v>
      </c>
      <c r="D272" s="4" t="s">
        <v>41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44562</v>
      </c>
      <c r="J272" s="6">
        <v>0</v>
      </c>
      <c r="K272" s="6">
        <v>0</v>
      </c>
      <c r="L272" s="6">
        <v>15.837</v>
      </c>
      <c r="M272" s="6">
        <v>15.837</v>
      </c>
      <c r="N272" s="6">
        <v>15.837</v>
      </c>
      <c r="O272" s="6">
        <v>15.837</v>
      </c>
      <c r="P272" s="6">
        <v>8</v>
      </c>
      <c r="Q272" s="4" t="s">
        <v>26</v>
      </c>
      <c r="R272" s="4">
        <v>0</v>
      </c>
      <c r="S272" s="4" t="s">
        <v>241</v>
      </c>
      <c r="T272" s="4" t="s">
        <v>402</v>
      </c>
      <c r="U272" s="4">
        <v>0</v>
      </c>
      <c r="V272" s="4">
        <v>28</v>
      </c>
      <c r="W272" s="4">
        <v>76</v>
      </c>
    </row>
    <row r="273" spans="1:23" ht="11.25" customHeight="1" x14ac:dyDescent="0.3">
      <c r="A273" s="4" t="s">
        <v>21</v>
      </c>
      <c r="B273" s="4" t="s">
        <v>33</v>
      </c>
      <c r="C273" s="4" t="s">
        <v>23</v>
      </c>
      <c r="D273" s="4" t="s">
        <v>41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44593</v>
      </c>
      <c r="J273" s="6">
        <v>0</v>
      </c>
      <c r="K273" s="6">
        <v>0</v>
      </c>
      <c r="L273" s="6">
        <v>104.35299999999999</v>
      </c>
      <c r="M273" s="6">
        <v>104.35299999999999</v>
      </c>
      <c r="N273" s="6">
        <v>104.35299999999999</v>
      </c>
      <c r="O273" s="6">
        <v>104.35299999999999</v>
      </c>
      <c r="P273" s="6">
        <v>267</v>
      </c>
      <c r="Q273" s="4" t="s">
        <v>26</v>
      </c>
      <c r="R273" s="4">
        <v>0</v>
      </c>
      <c r="S273" s="4" t="s">
        <v>242</v>
      </c>
      <c r="T273" s="4" t="s">
        <v>403</v>
      </c>
      <c r="U273" s="4">
        <v>0</v>
      </c>
      <c r="V273" s="4">
        <v>28</v>
      </c>
      <c r="W273" s="4">
        <v>76</v>
      </c>
    </row>
    <row r="274" spans="1:23" ht="11.25" customHeight="1" x14ac:dyDescent="0.3">
      <c r="A274" s="4" t="s">
        <v>27</v>
      </c>
      <c r="B274" s="4" t="s">
        <v>33</v>
      </c>
      <c r="C274" s="4" t="s">
        <v>23</v>
      </c>
      <c r="D274" s="4" t="s">
        <v>41</v>
      </c>
      <c r="E274" s="4" t="s">
        <v>25</v>
      </c>
      <c r="F274" s="4" t="s">
        <v>25</v>
      </c>
      <c r="G274" s="4" t="s">
        <v>25</v>
      </c>
      <c r="H274" s="4" t="s">
        <v>25</v>
      </c>
      <c r="I274" s="5">
        <v>44593</v>
      </c>
      <c r="J274" s="6">
        <v>0</v>
      </c>
      <c r="K274" s="6">
        <v>0</v>
      </c>
      <c r="L274" s="6">
        <v>-5.2809999999999997</v>
      </c>
      <c r="M274" s="6">
        <v>-5.2809999999999997</v>
      </c>
      <c r="N274" s="6">
        <v>-5.2809999999999997</v>
      </c>
      <c r="O274" s="6">
        <v>-5.2809999999999997</v>
      </c>
      <c r="P274" s="6">
        <v>0</v>
      </c>
      <c r="Q274" s="4" t="s">
        <v>26</v>
      </c>
      <c r="R274" s="4">
        <v>0</v>
      </c>
      <c r="S274" s="4" t="s">
        <v>242</v>
      </c>
      <c r="T274" s="4" t="s">
        <v>403</v>
      </c>
      <c r="U274" s="4">
        <v>0</v>
      </c>
      <c r="V274" s="4">
        <v>28</v>
      </c>
      <c r="W274" s="4">
        <v>76</v>
      </c>
    </row>
    <row r="275" spans="1:23" ht="11.25" customHeight="1" x14ac:dyDescent="0.3">
      <c r="A275" s="4" t="s">
        <v>28</v>
      </c>
      <c r="B275" s="4" t="s">
        <v>33</v>
      </c>
      <c r="C275" s="4" t="s">
        <v>23</v>
      </c>
      <c r="D275" s="4" t="s">
        <v>41</v>
      </c>
      <c r="E275" s="4" t="s">
        <v>25</v>
      </c>
      <c r="F275" s="4" t="s">
        <v>25</v>
      </c>
      <c r="G275" s="4" t="s">
        <v>25</v>
      </c>
      <c r="H275" s="4" t="s">
        <v>25</v>
      </c>
      <c r="I275" s="5">
        <v>44593</v>
      </c>
      <c r="J275" s="6">
        <v>0</v>
      </c>
      <c r="K275" s="6">
        <v>0</v>
      </c>
      <c r="L275" s="6">
        <v>20.271000000000001</v>
      </c>
      <c r="M275" s="6">
        <v>20.271000000000001</v>
      </c>
      <c r="N275" s="6">
        <v>20.271000000000001</v>
      </c>
      <c r="O275" s="6">
        <v>20.271000000000001</v>
      </c>
      <c r="P275" s="6">
        <v>8</v>
      </c>
      <c r="Q275" s="4" t="s">
        <v>26</v>
      </c>
      <c r="R275" s="4">
        <v>0</v>
      </c>
      <c r="S275" s="4" t="s">
        <v>242</v>
      </c>
      <c r="T275" s="4" t="s">
        <v>403</v>
      </c>
      <c r="U275" s="4">
        <v>0</v>
      </c>
      <c r="V275" s="4">
        <v>28</v>
      </c>
      <c r="W275" s="4">
        <v>76</v>
      </c>
    </row>
    <row r="276" spans="1:23" ht="11.25" customHeight="1" x14ac:dyDescent="0.3">
      <c r="A276" s="4" t="s">
        <v>21</v>
      </c>
      <c r="B276" s="4" t="s">
        <v>33</v>
      </c>
      <c r="C276" s="4" t="s">
        <v>23</v>
      </c>
      <c r="D276" s="4" t="s">
        <v>41</v>
      </c>
      <c r="E276" s="4" t="s">
        <v>25</v>
      </c>
      <c r="F276" s="4" t="s">
        <v>25</v>
      </c>
      <c r="G276" s="4" t="s">
        <v>25</v>
      </c>
      <c r="H276" s="4" t="s">
        <v>25</v>
      </c>
      <c r="I276" s="5">
        <v>44621</v>
      </c>
      <c r="J276" s="6">
        <v>0</v>
      </c>
      <c r="K276" s="6">
        <v>0</v>
      </c>
      <c r="L276" s="6">
        <v>94.872</v>
      </c>
      <c r="M276" s="6">
        <v>94.872</v>
      </c>
      <c r="N276" s="6">
        <v>94.872</v>
      </c>
      <c r="O276" s="6">
        <v>94.872</v>
      </c>
      <c r="P276" s="6">
        <v>266</v>
      </c>
      <c r="Q276" s="4" t="s">
        <v>26</v>
      </c>
      <c r="R276" s="4">
        <v>0</v>
      </c>
      <c r="S276" s="4" t="s">
        <v>243</v>
      </c>
      <c r="T276" s="4" t="s">
        <v>404</v>
      </c>
      <c r="U276" s="4">
        <v>0</v>
      </c>
      <c r="V276" s="4">
        <v>28</v>
      </c>
      <c r="W276" s="4">
        <v>76</v>
      </c>
    </row>
    <row r="277" spans="1:23" ht="11.25" customHeight="1" x14ac:dyDescent="0.3">
      <c r="A277" s="4" t="s">
        <v>28</v>
      </c>
      <c r="B277" s="4" t="s">
        <v>33</v>
      </c>
      <c r="C277" s="4" t="s">
        <v>23</v>
      </c>
      <c r="D277" s="4" t="s">
        <v>41</v>
      </c>
      <c r="E277" s="4" t="s">
        <v>25</v>
      </c>
      <c r="F277" s="4" t="s">
        <v>25</v>
      </c>
      <c r="G277" s="4" t="s">
        <v>25</v>
      </c>
      <c r="H277" s="4" t="s">
        <v>25</v>
      </c>
      <c r="I277" s="5">
        <v>44621</v>
      </c>
      <c r="J277" s="6">
        <v>0</v>
      </c>
      <c r="K277" s="6">
        <v>0</v>
      </c>
      <c r="L277" s="6">
        <v>19.905000000000001</v>
      </c>
      <c r="M277" s="6">
        <v>19.905000000000001</v>
      </c>
      <c r="N277" s="6">
        <v>19.905000000000001</v>
      </c>
      <c r="O277" s="6">
        <v>19.905000000000001</v>
      </c>
      <c r="P277" s="6">
        <v>8</v>
      </c>
      <c r="Q277" s="4" t="s">
        <v>26</v>
      </c>
      <c r="R277" s="4">
        <v>0</v>
      </c>
      <c r="S277" s="4" t="s">
        <v>243</v>
      </c>
      <c r="T277" s="4" t="s">
        <v>404</v>
      </c>
      <c r="U277" s="4">
        <v>0</v>
      </c>
      <c r="V277" s="4">
        <v>28</v>
      </c>
      <c r="W277" s="4">
        <v>76</v>
      </c>
    </row>
    <row r="278" spans="1:23" ht="11.25" customHeight="1" x14ac:dyDescent="0.3">
      <c r="A278" s="4" t="s">
        <v>21</v>
      </c>
      <c r="B278" s="4" t="s">
        <v>33</v>
      </c>
      <c r="C278" s="4" t="s">
        <v>23</v>
      </c>
      <c r="D278" s="4" t="s">
        <v>41</v>
      </c>
      <c r="E278" s="4" t="s">
        <v>25</v>
      </c>
      <c r="F278" s="4" t="s">
        <v>25</v>
      </c>
      <c r="G278" s="4" t="s">
        <v>25</v>
      </c>
      <c r="H278" s="4" t="s">
        <v>25</v>
      </c>
      <c r="I278" s="5">
        <v>44652</v>
      </c>
      <c r="J278" s="6">
        <v>0</v>
      </c>
      <c r="K278" s="6">
        <v>0</v>
      </c>
      <c r="L278" s="6">
        <v>86.762</v>
      </c>
      <c r="M278" s="6">
        <v>86.762</v>
      </c>
      <c r="N278" s="6">
        <v>86.762</v>
      </c>
      <c r="O278" s="6">
        <v>86.762</v>
      </c>
      <c r="P278" s="6">
        <v>265</v>
      </c>
      <c r="Q278" s="4" t="s">
        <v>26</v>
      </c>
      <c r="R278" s="4">
        <v>0</v>
      </c>
      <c r="S278" s="4" t="s">
        <v>244</v>
      </c>
      <c r="T278" s="4" t="s">
        <v>405</v>
      </c>
      <c r="U278" s="4">
        <v>0</v>
      </c>
      <c r="V278" s="4">
        <v>28</v>
      </c>
      <c r="W278" s="4">
        <v>76</v>
      </c>
    </row>
    <row r="279" spans="1:23" ht="11.25" customHeight="1" x14ac:dyDescent="0.3">
      <c r="A279" s="4" t="s">
        <v>27</v>
      </c>
      <c r="B279" s="4" t="s">
        <v>33</v>
      </c>
      <c r="C279" s="4" t="s">
        <v>23</v>
      </c>
      <c r="D279" s="4" t="s">
        <v>41</v>
      </c>
      <c r="E279" s="4" t="s">
        <v>25</v>
      </c>
      <c r="F279" s="4" t="s">
        <v>25</v>
      </c>
      <c r="G279" s="4" t="s">
        <v>25</v>
      </c>
      <c r="H279" s="4" t="s">
        <v>25</v>
      </c>
      <c r="I279" s="5">
        <v>44652</v>
      </c>
      <c r="J279" s="6">
        <v>0</v>
      </c>
      <c r="K279" s="6">
        <v>0</v>
      </c>
      <c r="L279" s="6">
        <v>-0.32900000000000001</v>
      </c>
      <c r="M279" s="6">
        <v>-0.32900000000000001</v>
      </c>
      <c r="N279" s="6">
        <v>-0.32900000000000001</v>
      </c>
      <c r="O279" s="6">
        <v>-0.32900000000000001</v>
      </c>
      <c r="P279" s="6">
        <v>0</v>
      </c>
      <c r="Q279" s="4" t="s">
        <v>26</v>
      </c>
      <c r="R279" s="4">
        <v>0</v>
      </c>
      <c r="S279" s="4" t="s">
        <v>244</v>
      </c>
      <c r="T279" s="4" t="s">
        <v>405</v>
      </c>
      <c r="U279" s="4">
        <v>0</v>
      </c>
      <c r="V279" s="4">
        <v>28</v>
      </c>
      <c r="W279" s="4">
        <v>76</v>
      </c>
    </row>
    <row r="280" spans="1:23" ht="11.25" customHeight="1" x14ac:dyDescent="0.3">
      <c r="A280" s="4" t="s">
        <v>28</v>
      </c>
      <c r="B280" s="4" t="s">
        <v>33</v>
      </c>
      <c r="C280" s="4" t="s">
        <v>23</v>
      </c>
      <c r="D280" s="4" t="s">
        <v>41</v>
      </c>
      <c r="E280" s="4" t="s">
        <v>25</v>
      </c>
      <c r="F280" s="4" t="s">
        <v>25</v>
      </c>
      <c r="G280" s="4" t="s">
        <v>25</v>
      </c>
      <c r="H280" s="4" t="s">
        <v>25</v>
      </c>
      <c r="I280" s="5">
        <v>44652</v>
      </c>
      <c r="J280" s="6">
        <v>0</v>
      </c>
      <c r="K280" s="6">
        <v>0</v>
      </c>
      <c r="L280" s="6">
        <v>11.178000000000001</v>
      </c>
      <c r="M280" s="6">
        <v>11.178000000000001</v>
      </c>
      <c r="N280" s="6">
        <v>11.178000000000001</v>
      </c>
      <c r="O280" s="6">
        <v>11.178000000000001</v>
      </c>
      <c r="P280" s="6">
        <v>8</v>
      </c>
      <c r="Q280" s="4" t="s">
        <v>26</v>
      </c>
      <c r="R280" s="4">
        <v>0</v>
      </c>
      <c r="S280" s="4" t="s">
        <v>244</v>
      </c>
      <c r="T280" s="4" t="s">
        <v>405</v>
      </c>
      <c r="U280" s="4">
        <v>0</v>
      </c>
      <c r="V280" s="4">
        <v>28</v>
      </c>
      <c r="W280" s="4">
        <v>76</v>
      </c>
    </row>
    <row r="281" spans="1:23" ht="11.25" customHeight="1" x14ac:dyDescent="0.3">
      <c r="A281" s="4" t="s">
        <v>21</v>
      </c>
      <c r="B281" s="4" t="s">
        <v>33</v>
      </c>
      <c r="C281" s="4" t="s">
        <v>23</v>
      </c>
      <c r="D281" s="4" t="s">
        <v>41</v>
      </c>
      <c r="E281" s="4" t="s">
        <v>25</v>
      </c>
      <c r="F281" s="4" t="s">
        <v>25</v>
      </c>
      <c r="G281" s="4" t="s">
        <v>25</v>
      </c>
      <c r="H281" s="4" t="s">
        <v>25</v>
      </c>
      <c r="I281" s="5">
        <v>44682</v>
      </c>
      <c r="J281" s="6">
        <v>0</v>
      </c>
      <c r="K281" s="6">
        <v>0</v>
      </c>
      <c r="L281" s="6">
        <v>83.935000000000002</v>
      </c>
      <c r="M281" s="6">
        <v>83.935000000000002</v>
      </c>
      <c r="N281" s="6">
        <v>83.935000000000002</v>
      </c>
      <c r="O281" s="6">
        <v>83.935000000000002</v>
      </c>
      <c r="P281" s="6">
        <v>262</v>
      </c>
      <c r="Q281" s="4" t="s">
        <v>26</v>
      </c>
      <c r="R281" s="4">
        <v>0</v>
      </c>
      <c r="S281" s="4" t="s">
        <v>245</v>
      </c>
      <c r="T281" s="4" t="s">
        <v>406</v>
      </c>
      <c r="U281" s="4">
        <v>0</v>
      </c>
      <c r="V281" s="4">
        <v>28</v>
      </c>
      <c r="W281" s="4">
        <v>76</v>
      </c>
    </row>
    <row r="282" spans="1:23" ht="11.25" customHeight="1" x14ac:dyDescent="0.3">
      <c r="A282" s="4" t="s">
        <v>28</v>
      </c>
      <c r="B282" s="4" t="s">
        <v>33</v>
      </c>
      <c r="C282" s="4" t="s">
        <v>23</v>
      </c>
      <c r="D282" s="4" t="s">
        <v>41</v>
      </c>
      <c r="E282" s="4" t="s">
        <v>25</v>
      </c>
      <c r="F282" s="4" t="s">
        <v>25</v>
      </c>
      <c r="G282" s="4" t="s">
        <v>25</v>
      </c>
      <c r="H282" s="4" t="s">
        <v>25</v>
      </c>
      <c r="I282" s="5">
        <v>44682</v>
      </c>
      <c r="J282" s="6">
        <v>0</v>
      </c>
      <c r="K282" s="6">
        <v>0</v>
      </c>
      <c r="L282" s="6">
        <v>10.384</v>
      </c>
      <c r="M282" s="6">
        <v>10.384</v>
      </c>
      <c r="N282" s="6">
        <v>10.384</v>
      </c>
      <c r="O282" s="6">
        <v>10.384</v>
      </c>
      <c r="P282" s="6">
        <v>8</v>
      </c>
      <c r="Q282" s="4" t="s">
        <v>26</v>
      </c>
      <c r="R282" s="4">
        <v>0</v>
      </c>
      <c r="S282" s="4" t="s">
        <v>245</v>
      </c>
      <c r="T282" s="4" t="s">
        <v>406</v>
      </c>
      <c r="U282" s="4">
        <v>0</v>
      </c>
      <c r="V282" s="4">
        <v>28</v>
      </c>
      <c r="W282" s="4">
        <v>76</v>
      </c>
    </row>
    <row r="283" spans="1:23" ht="11.25" customHeight="1" x14ac:dyDescent="0.3">
      <c r="A283" s="4" t="s">
        <v>21</v>
      </c>
      <c r="B283" s="4" t="s">
        <v>33</v>
      </c>
      <c r="C283" s="4" t="s">
        <v>23</v>
      </c>
      <c r="D283" s="4" t="s">
        <v>41</v>
      </c>
      <c r="E283" s="4" t="s">
        <v>25</v>
      </c>
      <c r="F283" s="4" t="s">
        <v>25</v>
      </c>
      <c r="G283" s="4" t="s">
        <v>25</v>
      </c>
      <c r="H283" s="4" t="s">
        <v>25</v>
      </c>
      <c r="I283" s="5">
        <v>44713</v>
      </c>
      <c r="J283" s="6">
        <v>0</v>
      </c>
      <c r="K283" s="6">
        <v>0</v>
      </c>
      <c r="L283" s="6">
        <v>84.881</v>
      </c>
      <c r="M283" s="6">
        <v>84.881</v>
      </c>
      <c r="N283" s="6">
        <v>84.881</v>
      </c>
      <c r="O283" s="6">
        <v>84.881</v>
      </c>
      <c r="P283" s="6">
        <v>263</v>
      </c>
      <c r="Q283" s="4" t="s">
        <v>26</v>
      </c>
      <c r="R283" s="4">
        <v>0</v>
      </c>
      <c r="S283" s="4" t="s">
        <v>246</v>
      </c>
      <c r="T283" s="4" t="s">
        <v>407</v>
      </c>
      <c r="U283" s="4">
        <v>0</v>
      </c>
      <c r="V283" s="4">
        <v>28</v>
      </c>
      <c r="W283" s="4">
        <v>76</v>
      </c>
    </row>
    <row r="284" spans="1:23" ht="11.25" customHeight="1" x14ac:dyDescent="0.3">
      <c r="A284" s="4" t="s">
        <v>27</v>
      </c>
      <c r="B284" s="4" t="s">
        <v>33</v>
      </c>
      <c r="C284" s="4" t="s">
        <v>23</v>
      </c>
      <c r="D284" s="4" t="s">
        <v>41</v>
      </c>
      <c r="E284" s="4" t="s">
        <v>25</v>
      </c>
      <c r="F284" s="4" t="s">
        <v>25</v>
      </c>
      <c r="G284" s="4" t="s">
        <v>25</v>
      </c>
      <c r="H284" s="4" t="s">
        <v>25</v>
      </c>
      <c r="I284" s="5">
        <v>44713</v>
      </c>
      <c r="J284" s="6">
        <v>0</v>
      </c>
      <c r="K284" s="6">
        <v>0</v>
      </c>
      <c r="L284" s="6">
        <v>-2.4289999999999998</v>
      </c>
      <c r="M284" s="6">
        <v>-2.4289999999999998</v>
      </c>
      <c r="N284" s="6">
        <v>-2.4289999999999998</v>
      </c>
      <c r="O284" s="6">
        <v>-2.4289999999999998</v>
      </c>
      <c r="P284" s="6">
        <v>0</v>
      </c>
      <c r="Q284" s="4" t="s">
        <v>26</v>
      </c>
      <c r="R284" s="4">
        <v>0</v>
      </c>
      <c r="S284" s="4" t="s">
        <v>246</v>
      </c>
      <c r="T284" s="4" t="s">
        <v>407</v>
      </c>
      <c r="U284" s="4">
        <v>0</v>
      </c>
      <c r="V284" s="4">
        <v>28</v>
      </c>
      <c r="W284" s="4">
        <v>76</v>
      </c>
    </row>
    <row r="285" spans="1:23" ht="11.25" customHeight="1" x14ac:dyDescent="0.3">
      <c r="A285" s="4" t="s">
        <v>28</v>
      </c>
      <c r="B285" s="4" t="s">
        <v>33</v>
      </c>
      <c r="C285" s="4" t="s">
        <v>23</v>
      </c>
      <c r="D285" s="4" t="s">
        <v>41</v>
      </c>
      <c r="E285" s="4" t="s">
        <v>25</v>
      </c>
      <c r="F285" s="4" t="s">
        <v>25</v>
      </c>
      <c r="G285" s="4" t="s">
        <v>25</v>
      </c>
      <c r="H285" s="4" t="s">
        <v>25</v>
      </c>
      <c r="I285" s="5">
        <v>44713</v>
      </c>
      <c r="J285" s="6">
        <v>0</v>
      </c>
      <c r="K285" s="6">
        <v>0</v>
      </c>
      <c r="L285" s="6">
        <v>16.899999999999999</v>
      </c>
      <c r="M285" s="6">
        <v>16.899999999999999</v>
      </c>
      <c r="N285" s="6">
        <v>16.899999999999999</v>
      </c>
      <c r="O285" s="6">
        <v>16.899999999999999</v>
      </c>
      <c r="P285" s="6">
        <v>8</v>
      </c>
      <c r="Q285" s="4" t="s">
        <v>26</v>
      </c>
      <c r="R285" s="4">
        <v>0</v>
      </c>
      <c r="S285" s="4" t="s">
        <v>246</v>
      </c>
      <c r="T285" s="4" t="s">
        <v>407</v>
      </c>
      <c r="U285" s="4">
        <v>0</v>
      </c>
      <c r="V285" s="4">
        <v>28</v>
      </c>
      <c r="W285" s="4">
        <v>76</v>
      </c>
    </row>
    <row r="286" spans="1:23" ht="11.25" customHeight="1" x14ac:dyDescent="0.3">
      <c r="A286" s="4" t="s">
        <v>21</v>
      </c>
      <c r="B286" s="4" t="s">
        <v>33</v>
      </c>
      <c r="C286" s="4" t="s">
        <v>23</v>
      </c>
      <c r="D286" s="4" t="s">
        <v>41</v>
      </c>
      <c r="E286" s="4" t="s">
        <v>25</v>
      </c>
      <c r="F286" s="4" t="s">
        <v>25</v>
      </c>
      <c r="G286" s="4" t="s">
        <v>25</v>
      </c>
      <c r="H286" s="4" t="s">
        <v>25</v>
      </c>
      <c r="I286" s="5">
        <v>44743</v>
      </c>
      <c r="J286" s="6">
        <v>0</v>
      </c>
      <c r="K286" s="6">
        <v>0</v>
      </c>
      <c r="L286" s="6">
        <v>78.19</v>
      </c>
      <c r="M286" s="6">
        <v>78.19</v>
      </c>
      <c r="N286" s="6">
        <v>78.19</v>
      </c>
      <c r="O286" s="6">
        <v>78.19</v>
      </c>
      <c r="P286" s="6">
        <v>265</v>
      </c>
      <c r="Q286" s="4" t="s">
        <v>26</v>
      </c>
      <c r="R286" s="4">
        <v>0</v>
      </c>
      <c r="S286" s="4" t="s">
        <v>247</v>
      </c>
      <c r="T286" s="4" t="s">
        <v>408</v>
      </c>
      <c r="U286" s="4">
        <v>0</v>
      </c>
      <c r="V286" s="4">
        <v>28</v>
      </c>
      <c r="W286" s="4">
        <v>76</v>
      </c>
    </row>
    <row r="287" spans="1:23" ht="11.25" customHeight="1" x14ac:dyDescent="0.3">
      <c r="A287" s="4" t="s">
        <v>28</v>
      </c>
      <c r="B287" s="4" t="s">
        <v>33</v>
      </c>
      <c r="C287" s="4" t="s">
        <v>23</v>
      </c>
      <c r="D287" s="4" t="s">
        <v>41</v>
      </c>
      <c r="E287" s="4" t="s">
        <v>25</v>
      </c>
      <c r="F287" s="4" t="s">
        <v>25</v>
      </c>
      <c r="G287" s="4" t="s">
        <v>25</v>
      </c>
      <c r="H287" s="4" t="s">
        <v>25</v>
      </c>
      <c r="I287" s="5">
        <v>44743</v>
      </c>
      <c r="J287" s="6">
        <v>0</v>
      </c>
      <c r="K287" s="6">
        <v>0</v>
      </c>
      <c r="L287" s="6">
        <v>12.518000000000001</v>
      </c>
      <c r="M287" s="6">
        <v>12.518000000000001</v>
      </c>
      <c r="N287" s="6">
        <v>12.518000000000001</v>
      </c>
      <c r="O287" s="6">
        <v>12.518000000000001</v>
      </c>
      <c r="P287" s="6">
        <v>8</v>
      </c>
      <c r="Q287" s="4" t="s">
        <v>26</v>
      </c>
      <c r="R287" s="4">
        <v>0</v>
      </c>
      <c r="S287" s="4" t="s">
        <v>247</v>
      </c>
      <c r="T287" s="4" t="s">
        <v>408</v>
      </c>
      <c r="U287" s="4">
        <v>0</v>
      </c>
      <c r="V287" s="4">
        <v>28</v>
      </c>
      <c r="W287" s="4">
        <v>76</v>
      </c>
    </row>
    <row r="288" spans="1:23" ht="11.25" customHeight="1" x14ac:dyDescent="0.3">
      <c r="A288" s="4" t="s">
        <v>52</v>
      </c>
      <c r="B288" s="4" t="s">
        <v>33</v>
      </c>
      <c r="C288" s="4" t="s">
        <v>23</v>
      </c>
      <c r="D288" s="4" t="s">
        <v>41</v>
      </c>
      <c r="E288" s="4" t="s">
        <v>25</v>
      </c>
      <c r="F288" s="4" t="s">
        <v>25</v>
      </c>
      <c r="G288" s="4" t="s">
        <v>25</v>
      </c>
      <c r="H288" s="4" t="s">
        <v>25</v>
      </c>
      <c r="I288" s="5">
        <v>44774</v>
      </c>
      <c r="J288" s="6">
        <v>0</v>
      </c>
      <c r="K288" s="6">
        <v>0</v>
      </c>
      <c r="L288" s="6">
        <v>78.19</v>
      </c>
      <c r="M288" s="6">
        <v>78.19</v>
      </c>
      <c r="N288" s="6">
        <v>78.19</v>
      </c>
      <c r="O288" s="6">
        <v>78.19</v>
      </c>
      <c r="P288" s="6">
        <v>265</v>
      </c>
      <c r="Q288" s="4" t="s">
        <v>26</v>
      </c>
      <c r="R288" s="4">
        <v>0</v>
      </c>
      <c r="S288" s="4" t="s">
        <v>248</v>
      </c>
      <c r="T288" s="4" t="s">
        <v>409</v>
      </c>
      <c r="U288" s="4">
        <v>0</v>
      </c>
      <c r="V288" s="4">
        <v>28</v>
      </c>
      <c r="W288" s="4">
        <v>76</v>
      </c>
    </row>
    <row r="289" spans="1:23" ht="11.25" customHeight="1" x14ac:dyDescent="0.3">
      <c r="A289" s="4" t="s">
        <v>52</v>
      </c>
      <c r="B289" s="4" t="s">
        <v>33</v>
      </c>
      <c r="C289" s="4" t="s">
        <v>23</v>
      </c>
      <c r="D289" s="4" t="s">
        <v>41</v>
      </c>
      <c r="E289" s="4" t="s">
        <v>25</v>
      </c>
      <c r="F289" s="4" t="s">
        <v>25</v>
      </c>
      <c r="G289" s="4" t="s">
        <v>25</v>
      </c>
      <c r="H289" s="4" t="s">
        <v>25</v>
      </c>
      <c r="I289" s="5">
        <v>44774</v>
      </c>
      <c r="J289" s="6">
        <v>0</v>
      </c>
      <c r="K289" s="6">
        <v>0</v>
      </c>
      <c r="L289" s="6">
        <v>12.518000000000001</v>
      </c>
      <c r="M289" s="6">
        <v>12.518000000000001</v>
      </c>
      <c r="N289" s="6">
        <v>12.518000000000001</v>
      </c>
      <c r="O289" s="6">
        <v>12.518000000000001</v>
      </c>
      <c r="P289" s="6">
        <v>8</v>
      </c>
      <c r="Q289" s="4" t="s">
        <v>26</v>
      </c>
      <c r="R289" s="4">
        <v>0</v>
      </c>
      <c r="S289" s="4" t="s">
        <v>248</v>
      </c>
      <c r="T289" s="4" t="s">
        <v>409</v>
      </c>
      <c r="U289" s="4">
        <v>0</v>
      </c>
      <c r="V289" s="4">
        <v>28</v>
      </c>
      <c r="W289" s="4">
        <v>76</v>
      </c>
    </row>
    <row r="290" spans="1:23" ht="11.25" customHeight="1" x14ac:dyDescent="0.3">
      <c r="A290" s="4" t="s">
        <v>21</v>
      </c>
      <c r="B290" s="4" t="s">
        <v>33</v>
      </c>
      <c r="C290" s="4" t="s">
        <v>23</v>
      </c>
      <c r="D290" s="4" t="s">
        <v>51</v>
      </c>
      <c r="E290" s="4" t="s">
        <v>25</v>
      </c>
      <c r="F290" s="4" t="s">
        <v>25</v>
      </c>
      <c r="G290" s="4" t="s">
        <v>25</v>
      </c>
      <c r="H290" s="4" t="s">
        <v>25</v>
      </c>
      <c r="I290" s="5">
        <v>44440</v>
      </c>
      <c r="J290" s="6">
        <v>0</v>
      </c>
      <c r="K290" s="6">
        <v>0</v>
      </c>
      <c r="L290" s="6">
        <v>3.7549999999999999</v>
      </c>
      <c r="M290" s="6">
        <v>3.7549999999999999</v>
      </c>
      <c r="N290" s="6">
        <v>3.7549999999999999</v>
      </c>
      <c r="O290" s="6">
        <v>3.7549999999999999</v>
      </c>
      <c r="P290" s="6">
        <v>4</v>
      </c>
      <c r="Q290" s="4" t="s">
        <v>26</v>
      </c>
      <c r="R290" s="4">
        <v>0</v>
      </c>
      <c r="S290" s="4" t="s">
        <v>237</v>
      </c>
      <c r="T290" s="4" t="s">
        <v>398</v>
      </c>
      <c r="U290" s="4">
        <v>0</v>
      </c>
      <c r="V290" s="4">
        <v>28</v>
      </c>
      <c r="W290" s="4">
        <v>76</v>
      </c>
    </row>
    <row r="291" spans="1:23" ht="11.25" customHeight="1" x14ac:dyDescent="0.3">
      <c r="A291" s="4" t="s">
        <v>21</v>
      </c>
      <c r="B291" s="4" t="s">
        <v>33</v>
      </c>
      <c r="C291" s="4" t="s">
        <v>23</v>
      </c>
      <c r="D291" s="4" t="s">
        <v>34</v>
      </c>
      <c r="E291" s="4" t="s">
        <v>25</v>
      </c>
      <c r="F291" s="4" t="s">
        <v>25</v>
      </c>
      <c r="G291" s="4" t="s">
        <v>25</v>
      </c>
      <c r="H291" s="4" t="s">
        <v>25</v>
      </c>
      <c r="I291" s="5">
        <v>44440</v>
      </c>
      <c r="J291" s="6">
        <v>0</v>
      </c>
      <c r="K291" s="6">
        <v>0</v>
      </c>
      <c r="L291" s="6">
        <v>127.378</v>
      </c>
      <c r="M291" s="6">
        <v>127.378</v>
      </c>
      <c r="N291" s="6">
        <v>127.378</v>
      </c>
      <c r="O291" s="6">
        <v>127.378</v>
      </c>
      <c r="P291" s="6">
        <v>70</v>
      </c>
      <c r="Q291" s="4" t="s">
        <v>26</v>
      </c>
      <c r="R291" s="4">
        <v>0</v>
      </c>
      <c r="S291" s="4" t="s">
        <v>237</v>
      </c>
      <c r="T291" s="4" t="s">
        <v>398</v>
      </c>
      <c r="U291" s="4">
        <v>0</v>
      </c>
      <c r="V291" s="4">
        <v>28</v>
      </c>
      <c r="W291" s="4">
        <v>76</v>
      </c>
    </row>
    <row r="292" spans="1:23" ht="11.25" customHeight="1" x14ac:dyDescent="0.3">
      <c r="A292" s="4" t="s">
        <v>28</v>
      </c>
      <c r="B292" s="4" t="s">
        <v>33</v>
      </c>
      <c r="C292" s="4" t="s">
        <v>23</v>
      </c>
      <c r="D292" s="4" t="s">
        <v>34</v>
      </c>
      <c r="E292" s="4" t="s">
        <v>25</v>
      </c>
      <c r="F292" s="4" t="s">
        <v>25</v>
      </c>
      <c r="G292" s="4" t="s">
        <v>25</v>
      </c>
      <c r="H292" s="4" t="s">
        <v>25</v>
      </c>
      <c r="I292" s="5">
        <v>44440</v>
      </c>
      <c r="J292" s="6">
        <v>0</v>
      </c>
      <c r="K292" s="6">
        <v>0</v>
      </c>
      <c r="L292" s="6">
        <v>9.3699999999999992</v>
      </c>
      <c r="M292" s="6">
        <v>9.3699999999999992</v>
      </c>
      <c r="N292" s="6">
        <v>9.3699999999999992</v>
      </c>
      <c r="O292" s="6">
        <v>9.3699999999999992</v>
      </c>
      <c r="P292" s="6">
        <v>4</v>
      </c>
      <c r="Q292" s="4" t="s">
        <v>26</v>
      </c>
      <c r="R292" s="4">
        <v>0</v>
      </c>
      <c r="S292" s="4" t="s">
        <v>237</v>
      </c>
      <c r="T292" s="4" t="s">
        <v>398</v>
      </c>
      <c r="U292" s="4">
        <v>0</v>
      </c>
      <c r="V292" s="4">
        <v>28</v>
      </c>
      <c r="W292" s="4">
        <v>76</v>
      </c>
    </row>
    <row r="293" spans="1:23" ht="11.25" customHeight="1" x14ac:dyDescent="0.3">
      <c r="A293" s="4" t="s">
        <v>21</v>
      </c>
      <c r="B293" s="4" t="s">
        <v>33</v>
      </c>
      <c r="C293" s="4" t="s">
        <v>23</v>
      </c>
      <c r="D293" s="4" t="s">
        <v>34</v>
      </c>
      <c r="E293" s="4" t="s">
        <v>25</v>
      </c>
      <c r="F293" s="4" t="s">
        <v>25</v>
      </c>
      <c r="G293" s="4" t="s">
        <v>25</v>
      </c>
      <c r="H293" s="4" t="s">
        <v>25</v>
      </c>
      <c r="I293" s="5">
        <v>44470</v>
      </c>
      <c r="J293" s="6">
        <v>0</v>
      </c>
      <c r="K293" s="6">
        <v>0</v>
      </c>
      <c r="L293" s="6">
        <v>151.34899999999999</v>
      </c>
      <c r="M293" s="6">
        <v>151.34899999999999</v>
      </c>
      <c r="N293" s="6">
        <v>151.34899999999999</v>
      </c>
      <c r="O293" s="6">
        <v>151.34899999999999</v>
      </c>
      <c r="P293" s="6">
        <v>69</v>
      </c>
      <c r="Q293" s="4" t="s">
        <v>26</v>
      </c>
      <c r="R293" s="4">
        <v>0</v>
      </c>
      <c r="S293" s="4" t="s">
        <v>238</v>
      </c>
      <c r="T293" s="4" t="s">
        <v>399</v>
      </c>
      <c r="U293" s="4">
        <v>0</v>
      </c>
      <c r="V293" s="4">
        <v>28</v>
      </c>
      <c r="W293" s="4">
        <v>76</v>
      </c>
    </row>
    <row r="294" spans="1:23" ht="11.25" customHeight="1" x14ac:dyDescent="0.3">
      <c r="A294" s="4" t="s">
        <v>28</v>
      </c>
      <c r="B294" s="4" t="s">
        <v>33</v>
      </c>
      <c r="C294" s="4" t="s">
        <v>23</v>
      </c>
      <c r="D294" s="4" t="s">
        <v>34</v>
      </c>
      <c r="E294" s="4" t="s">
        <v>25</v>
      </c>
      <c r="F294" s="4" t="s">
        <v>25</v>
      </c>
      <c r="G294" s="4" t="s">
        <v>25</v>
      </c>
      <c r="H294" s="4" t="s">
        <v>25</v>
      </c>
      <c r="I294" s="5">
        <v>44470</v>
      </c>
      <c r="J294" s="6">
        <v>0</v>
      </c>
      <c r="K294" s="6">
        <v>0</v>
      </c>
      <c r="L294" s="6">
        <v>7.5279999999999996</v>
      </c>
      <c r="M294" s="6">
        <v>7.5279999999999996</v>
      </c>
      <c r="N294" s="6">
        <v>7.5279999999999996</v>
      </c>
      <c r="O294" s="6">
        <v>7.5279999999999996</v>
      </c>
      <c r="P294" s="6">
        <v>4</v>
      </c>
      <c r="Q294" s="4" t="s">
        <v>26</v>
      </c>
      <c r="R294" s="4">
        <v>0</v>
      </c>
      <c r="S294" s="4" t="s">
        <v>238</v>
      </c>
      <c r="T294" s="4" t="s">
        <v>399</v>
      </c>
      <c r="U294" s="4">
        <v>0</v>
      </c>
      <c r="V294" s="4">
        <v>28</v>
      </c>
      <c r="W294" s="4">
        <v>76</v>
      </c>
    </row>
    <row r="295" spans="1:23" ht="11.25" customHeight="1" x14ac:dyDescent="0.3">
      <c r="A295" s="4" t="s">
        <v>21</v>
      </c>
      <c r="B295" s="4" t="s">
        <v>33</v>
      </c>
      <c r="C295" s="4" t="s">
        <v>23</v>
      </c>
      <c r="D295" s="4" t="s">
        <v>34</v>
      </c>
      <c r="E295" s="4" t="s">
        <v>25</v>
      </c>
      <c r="F295" s="4" t="s">
        <v>25</v>
      </c>
      <c r="G295" s="4" t="s">
        <v>25</v>
      </c>
      <c r="H295" s="4" t="s">
        <v>25</v>
      </c>
      <c r="I295" s="5">
        <v>44501</v>
      </c>
      <c r="J295" s="6">
        <v>0</v>
      </c>
      <c r="K295" s="6">
        <v>0</v>
      </c>
      <c r="L295" s="6">
        <v>132.26499999999999</v>
      </c>
      <c r="M295" s="6">
        <v>132.26499999999999</v>
      </c>
      <c r="N295" s="6">
        <v>132.26499999999999</v>
      </c>
      <c r="O295" s="6">
        <v>132.26499999999999</v>
      </c>
      <c r="P295" s="6">
        <v>68</v>
      </c>
      <c r="Q295" s="4" t="s">
        <v>26</v>
      </c>
      <c r="R295" s="4">
        <v>0</v>
      </c>
      <c r="S295" s="4" t="s">
        <v>239</v>
      </c>
      <c r="T295" s="4" t="s">
        <v>400</v>
      </c>
      <c r="U295" s="4">
        <v>0</v>
      </c>
      <c r="V295" s="4">
        <v>28</v>
      </c>
      <c r="W295" s="4">
        <v>76</v>
      </c>
    </row>
    <row r="296" spans="1:23" ht="11.25" customHeight="1" x14ac:dyDescent="0.3">
      <c r="A296" s="4" t="s">
        <v>21</v>
      </c>
      <c r="B296" s="4" t="s">
        <v>33</v>
      </c>
      <c r="C296" s="4" t="s">
        <v>23</v>
      </c>
      <c r="D296" s="4" t="s">
        <v>34</v>
      </c>
      <c r="E296" s="4" t="s">
        <v>25</v>
      </c>
      <c r="F296" s="4" t="s">
        <v>25</v>
      </c>
      <c r="G296" s="4" t="s">
        <v>25</v>
      </c>
      <c r="H296" s="4" t="s">
        <v>25</v>
      </c>
      <c r="I296" s="5">
        <v>44531</v>
      </c>
      <c r="J296" s="6">
        <v>0</v>
      </c>
      <c r="K296" s="6">
        <v>0</v>
      </c>
      <c r="L296" s="6">
        <v>118.005</v>
      </c>
      <c r="M296" s="6">
        <v>118.005</v>
      </c>
      <c r="N296" s="6">
        <v>118.005</v>
      </c>
      <c r="O296" s="6">
        <v>118.005</v>
      </c>
      <c r="P296" s="6">
        <v>65</v>
      </c>
      <c r="Q296" s="4" t="s">
        <v>26</v>
      </c>
      <c r="R296" s="4">
        <v>0</v>
      </c>
      <c r="S296" s="4" t="s">
        <v>240</v>
      </c>
      <c r="T296" s="4" t="s">
        <v>401</v>
      </c>
      <c r="U296" s="4">
        <v>0</v>
      </c>
      <c r="V296" s="4">
        <v>28</v>
      </c>
      <c r="W296" s="4">
        <v>76</v>
      </c>
    </row>
    <row r="297" spans="1:23" ht="11.25" customHeight="1" x14ac:dyDescent="0.3">
      <c r="A297" s="4" t="s">
        <v>28</v>
      </c>
      <c r="B297" s="4" t="s">
        <v>33</v>
      </c>
      <c r="C297" s="4" t="s">
        <v>23</v>
      </c>
      <c r="D297" s="4" t="s">
        <v>34</v>
      </c>
      <c r="E297" s="4" t="s">
        <v>25</v>
      </c>
      <c r="F297" s="4" t="s">
        <v>25</v>
      </c>
      <c r="G297" s="4" t="s">
        <v>25</v>
      </c>
      <c r="H297" s="4" t="s">
        <v>25</v>
      </c>
      <c r="I297" s="5">
        <v>44531</v>
      </c>
      <c r="J297" s="6">
        <v>0</v>
      </c>
      <c r="K297" s="6">
        <v>0</v>
      </c>
      <c r="L297" s="6">
        <v>0.2</v>
      </c>
      <c r="M297" s="6">
        <v>0.2</v>
      </c>
      <c r="N297" s="6">
        <v>0.2</v>
      </c>
      <c r="O297" s="6">
        <v>0.2</v>
      </c>
      <c r="P297" s="6">
        <v>2</v>
      </c>
      <c r="Q297" s="4" t="s">
        <v>26</v>
      </c>
      <c r="R297" s="4">
        <v>0</v>
      </c>
      <c r="S297" s="4" t="s">
        <v>240</v>
      </c>
      <c r="T297" s="4" t="s">
        <v>401</v>
      </c>
      <c r="U297" s="4">
        <v>0</v>
      </c>
      <c r="V297" s="4">
        <v>28</v>
      </c>
      <c r="W297" s="4">
        <v>76</v>
      </c>
    </row>
    <row r="298" spans="1:23" ht="11.25" customHeight="1" x14ac:dyDescent="0.3">
      <c r="A298" s="4" t="s">
        <v>21</v>
      </c>
      <c r="B298" s="4" t="s">
        <v>33</v>
      </c>
      <c r="C298" s="4" t="s">
        <v>23</v>
      </c>
      <c r="D298" s="4" t="s">
        <v>34</v>
      </c>
      <c r="E298" s="4" t="s">
        <v>25</v>
      </c>
      <c r="F298" s="4" t="s">
        <v>25</v>
      </c>
      <c r="G298" s="4" t="s">
        <v>25</v>
      </c>
      <c r="H298" s="4" t="s">
        <v>25</v>
      </c>
      <c r="I298" s="5">
        <v>44562</v>
      </c>
      <c r="J298" s="6">
        <v>0</v>
      </c>
      <c r="K298" s="6">
        <v>0</v>
      </c>
      <c r="L298" s="6">
        <v>97.156999999999996</v>
      </c>
      <c r="M298" s="6">
        <v>97.156999999999996</v>
      </c>
      <c r="N298" s="6">
        <v>97.156999999999996</v>
      </c>
      <c r="O298" s="6">
        <v>97.156999999999996</v>
      </c>
      <c r="P298" s="6">
        <v>65</v>
      </c>
      <c r="Q298" s="4" t="s">
        <v>26</v>
      </c>
      <c r="R298" s="4">
        <v>0</v>
      </c>
      <c r="S298" s="4" t="s">
        <v>241</v>
      </c>
      <c r="T298" s="4" t="s">
        <v>402</v>
      </c>
      <c r="U298" s="4">
        <v>0</v>
      </c>
      <c r="V298" s="4">
        <v>28</v>
      </c>
      <c r="W298" s="4">
        <v>76</v>
      </c>
    </row>
    <row r="299" spans="1:23" ht="11.25" customHeight="1" x14ac:dyDescent="0.3">
      <c r="A299" s="4" t="s">
        <v>28</v>
      </c>
      <c r="B299" s="4" t="s">
        <v>33</v>
      </c>
      <c r="C299" s="4" t="s">
        <v>23</v>
      </c>
      <c r="D299" s="4" t="s">
        <v>34</v>
      </c>
      <c r="E299" s="4" t="s">
        <v>25</v>
      </c>
      <c r="F299" s="4" t="s">
        <v>25</v>
      </c>
      <c r="G299" s="4" t="s">
        <v>25</v>
      </c>
      <c r="H299" s="4" t="s">
        <v>25</v>
      </c>
      <c r="I299" s="5">
        <v>44562</v>
      </c>
      <c r="J299" s="6">
        <v>0</v>
      </c>
      <c r="K299" s="6">
        <v>0</v>
      </c>
      <c r="L299" s="6">
        <v>0.2</v>
      </c>
      <c r="M299" s="6">
        <v>0.2</v>
      </c>
      <c r="N299" s="6">
        <v>0.2</v>
      </c>
      <c r="O299" s="6">
        <v>0.2</v>
      </c>
      <c r="P299" s="6">
        <v>2</v>
      </c>
      <c r="Q299" s="4" t="s">
        <v>26</v>
      </c>
      <c r="R299" s="4">
        <v>0</v>
      </c>
      <c r="S299" s="4" t="s">
        <v>241</v>
      </c>
      <c r="T299" s="4" t="s">
        <v>402</v>
      </c>
      <c r="U299" s="4">
        <v>0</v>
      </c>
      <c r="V299" s="4">
        <v>28</v>
      </c>
      <c r="W299" s="4">
        <v>76</v>
      </c>
    </row>
    <row r="300" spans="1:23" ht="11.25" customHeight="1" x14ac:dyDescent="0.3">
      <c r="A300" s="4" t="s">
        <v>21</v>
      </c>
      <c r="B300" s="4" t="s">
        <v>33</v>
      </c>
      <c r="C300" s="4" t="s">
        <v>23</v>
      </c>
      <c r="D300" s="4" t="s">
        <v>34</v>
      </c>
      <c r="E300" s="4" t="s">
        <v>25</v>
      </c>
      <c r="F300" s="4" t="s">
        <v>25</v>
      </c>
      <c r="G300" s="4" t="s">
        <v>25</v>
      </c>
      <c r="H300" s="4" t="s">
        <v>25</v>
      </c>
      <c r="I300" s="5">
        <v>44593</v>
      </c>
      <c r="J300" s="6">
        <v>0</v>
      </c>
      <c r="K300" s="6">
        <v>0</v>
      </c>
      <c r="L300" s="6">
        <v>141.63800000000001</v>
      </c>
      <c r="M300" s="6">
        <v>141.63800000000001</v>
      </c>
      <c r="N300" s="6">
        <v>141.63800000000001</v>
      </c>
      <c r="O300" s="6">
        <v>141.63800000000001</v>
      </c>
      <c r="P300" s="6">
        <v>66</v>
      </c>
      <c r="Q300" s="4" t="s">
        <v>26</v>
      </c>
      <c r="R300" s="4">
        <v>0</v>
      </c>
      <c r="S300" s="4" t="s">
        <v>242</v>
      </c>
      <c r="T300" s="4" t="s">
        <v>403</v>
      </c>
      <c r="U300" s="4">
        <v>0</v>
      </c>
      <c r="V300" s="4">
        <v>28</v>
      </c>
      <c r="W300" s="4">
        <v>76</v>
      </c>
    </row>
    <row r="301" spans="1:23" ht="11.25" customHeight="1" x14ac:dyDescent="0.3">
      <c r="A301" s="4" t="s">
        <v>28</v>
      </c>
      <c r="B301" s="4" t="s">
        <v>33</v>
      </c>
      <c r="C301" s="4" t="s">
        <v>23</v>
      </c>
      <c r="D301" s="4" t="s">
        <v>34</v>
      </c>
      <c r="E301" s="4" t="s">
        <v>25</v>
      </c>
      <c r="F301" s="4" t="s">
        <v>25</v>
      </c>
      <c r="G301" s="4" t="s">
        <v>25</v>
      </c>
      <c r="H301" s="4" t="s">
        <v>25</v>
      </c>
      <c r="I301" s="5">
        <v>44593</v>
      </c>
      <c r="J301" s="6">
        <v>0</v>
      </c>
      <c r="K301" s="6">
        <v>0</v>
      </c>
      <c r="L301" s="6">
        <v>0.2</v>
      </c>
      <c r="M301" s="6">
        <v>0.2</v>
      </c>
      <c r="N301" s="6">
        <v>0.2</v>
      </c>
      <c r="O301" s="6">
        <v>0.2</v>
      </c>
      <c r="P301" s="6">
        <v>2</v>
      </c>
      <c r="Q301" s="4" t="s">
        <v>26</v>
      </c>
      <c r="R301" s="4">
        <v>0</v>
      </c>
      <c r="S301" s="4" t="s">
        <v>242</v>
      </c>
      <c r="T301" s="4" t="s">
        <v>403</v>
      </c>
      <c r="U301" s="4">
        <v>0</v>
      </c>
      <c r="V301" s="4">
        <v>28</v>
      </c>
      <c r="W301" s="4">
        <v>76</v>
      </c>
    </row>
    <row r="302" spans="1:23" ht="11.25" customHeight="1" x14ac:dyDescent="0.3">
      <c r="A302" s="4" t="s">
        <v>21</v>
      </c>
      <c r="B302" s="4" t="s">
        <v>33</v>
      </c>
      <c r="C302" s="4" t="s">
        <v>23</v>
      </c>
      <c r="D302" s="4" t="s">
        <v>34</v>
      </c>
      <c r="E302" s="4" t="s">
        <v>25</v>
      </c>
      <c r="F302" s="4" t="s">
        <v>25</v>
      </c>
      <c r="G302" s="4" t="s">
        <v>25</v>
      </c>
      <c r="H302" s="4" t="s">
        <v>25</v>
      </c>
      <c r="I302" s="5">
        <v>44621</v>
      </c>
      <c r="J302" s="6">
        <v>0</v>
      </c>
      <c r="K302" s="6">
        <v>0</v>
      </c>
      <c r="L302" s="6">
        <v>128.958</v>
      </c>
      <c r="M302" s="6">
        <v>128.958</v>
      </c>
      <c r="N302" s="6">
        <v>128.958</v>
      </c>
      <c r="O302" s="6">
        <v>128.958</v>
      </c>
      <c r="P302" s="6">
        <v>67</v>
      </c>
      <c r="Q302" s="4" t="s">
        <v>26</v>
      </c>
      <c r="R302" s="4">
        <v>0</v>
      </c>
      <c r="S302" s="4" t="s">
        <v>243</v>
      </c>
      <c r="T302" s="4" t="s">
        <v>404</v>
      </c>
      <c r="U302" s="4">
        <v>0</v>
      </c>
      <c r="V302" s="4">
        <v>28</v>
      </c>
      <c r="W302" s="4">
        <v>76</v>
      </c>
    </row>
    <row r="303" spans="1:23" ht="11.25" customHeight="1" x14ac:dyDescent="0.3">
      <c r="A303" s="4" t="s">
        <v>28</v>
      </c>
      <c r="B303" s="4" t="s">
        <v>33</v>
      </c>
      <c r="C303" s="4" t="s">
        <v>23</v>
      </c>
      <c r="D303" s="4" t="s">
        <v>34</v>
      </c>
      <c r="E303" s="4" t="s">
        <v>25</v>
      </c>
      <c r="F303" s="4" t="s">
        <v>25</v>
      </c>
      <c r="G303" s="4" t="s">
        <v>25</v>
      </c>
      <c r="H303" s="4" t="s">
        <v>25</v>
      </c>
      <c r="I303" s="5">
        <v>44621</v>
      </c>
      <c r="J303" s="6">
        <v>0</v>
      </c>
      <c r="K303" s="6">
        <v>0</v>
      </c>
      <c r="L303" s="6">
        <v>0.2</v>
      </c>
      <c r="M303" s="6">
        <v>0.2</v>
      </c>
      <c r="N303" s="6">
        <v>0.2</v>
      </c>
      <c r="O303" s="6">
        <v>0.2</v>
      </c>
      <c r="P303" s="6">
        <v>2</v>
      </c>
      <c r="Q303" s="4" t="s">
        <v>26</v>
      </c>
      <c r="R303" s="4">
        <v>0</v>
      </c>
      <c r="S303" s="4" t="s">
        <v>243</v>
      </c>
      <c r="T303" s="4" t="s">
        <v>404</v>
      </c>
      <c r="U303" s="4">
        <v>0</v>
      </c>
      <c r="V303" s="4">
        <v>28</v>
      </c>
      <c r="W303" s="4">
        <v>76</v>
      </c>
    </row>
    <row r="304" spans="1:23" ht="11.25" customHeight="1" x14ac:dyDescent="0.3">
      <c r="A304" s="4" t="s">
        <v>21</v>
      </c>
      <c r="B304" s="4" t="s">
        <v>33</v>
      </c>
      <c r="C304" s="4" t="s">
        <v>23</v>
      </c>
      <c r="D304" s="4" t="s">
        <v>34</v>
      </c>
      <c r="E304" s="4" t="s">
        <v>25</v>
      </c>
      <c r="F304" s="4" t="s">
        <v>25</v>
      </c>
      <c r="G304" s="4" t="s">
        <v>25</v>
      </c>
      <c r="H304" s="4" t="s">
        <v>25</v>
      </c>
      <c r="I304" s="5">
        <v>44652</v>
      </c>
      <c r="J304" s="6">
        <v>0</v>
      </c>
      <c r="K304" s="6">
        <v>0</v>
      </c>
      <c r="L304" s="6">
        <v>139.82900000000001</v>
      </c>
      <c r="M304" s="6">
        <v>139.82900000000001</v>
      </c>
      <c r="N304" s="6">
        <v>139.82900000000001</v>
      </c>
      <c r="O304" s="6">
        <v>139.82900000000001</v>
      </c>
      <c r="P304" s="6">
        <v>67</v>
      </c>
      <c r="Q304" s="4" t="s">
        <v>26</v>
      </c>
      <c r="R304" s="4">
        <v>0</v>
      </c>
      <c r="S304" s="4" t="s">
        <v>244</v>
      </c>
      <c r="T304" s="4" t="s">
        <v>405</v>
      </c>
      <c r="U304" s="4">
        <v>0</v>
      </c>
      <c r="V304" s="4">
        <v>28</v>
      </c>
      <c r="W304" s="4">
        <v>76</v>
      </c>
    </row>
    <row r="305" spans="1:23" ht="11.25" customHeight="1" x14ac:dyDescent="0.3">
      <c r="A305" s="4" t="s">
        <v>28</v>
      </c>
      <c r="B305" s="4" t="s">
        <v>33</v>
      </c>
      <c r="C305" s="4" t="s">
        <v>23</v>
      </c>
      <c r="D305" s="4" t="s">
        <v>34</v>
      </c>
      <c r="E305" s="4" t="s">
        <v>25</v>
      </c>
      <c r="F305" s="4" t="s">
        <v>25</v>
      </c>
      <c r="G305" s="4" t="s">
        <v>25</v>
      </c>
      <c r="H305" s="4" t="s">
        <v>25</v>
      </c>
      <c r="I305" s="5">
        <v>44652</v>
      </c>
      <c r="J305" s="6">
        <v>0</v>
      </c>
      <c r="K305" s="6">
        <v>0</v>
      </c>
      <c r="L305" s="6">
        <v>0.2</v>
      </c>
      <c r="M305" s="6">
        <v>0.2</v>
      </c>
      <c r="N305" s="6">
        <v>0.2</v>
      </c>
      <c r="O305" s="6">
        <v>0.2</v>
      </c>
      <c r="P305" s="6">
        <v>2</v>
      </c>
      <c r="Q305" s="4" t="s">
        <v>26</v>
      </c>
      <c r="R305" s="4">
        <v>0</v>
      </c>
      <c r="S305" s="4" t="s">
        <v>244</v>
      </c>
      <c r="T305" s="4" t="s">
        <v>405</v>
      </c>
      <c r="U305" s="4">
        <v>0</v>
      </c>
      <c r="V305" s="4">
        <v>28</v>
      </c>
      <c r="W305" s="4">
        <v>76</v>
      </c>
    </row>
    <row r="306" spans="1:23" ht="11.25" customHeight="1" x14ac:dyDescent="0.3">
      <c r="A306" s="4" t="s">
        <v>21</v>
      </c>
      <c r="B306" s="4" t="s">
        <v>33</v>
      </c>
      <c r="C306" s="4" t="s">
        <v>23</v>
      </c>
      <c r="D306" s="4" t="s">
        <v>34</v>
      </c>
      <c r="E306" s="4" t="s">
        <v>25</v>
      </c>
      <c r="F306" s="4" t="s">
        <v>25</v>
      </c>
      <c r="G306" s="4" t="s">
        <v>25</v>
      </c>
      <c r="H306" s="4" t="s">
        <v>25</v>
      </c>
      <c r="I306" s="5">
        <v>44682</v>
      </c>
      <c r="J306" s="6">
        <v>0</v>
      </c>
      <c r="K306" s="6">
        <v>0</v>
      </c>
      <c r="L306" s="6">
        <v>146.398</v>
      </c>
      <c r="M306" s="6">
        <v>146.398</v>
      </c>
      <c r="N306" s="6">
        <v>146.398</v>
      </c>
      <c r="O306" s="6">
        <v>146.398</v>
      </c>
      <c r="P306" s="6">
        <v>67</v>
      </c>
      <c r="Q306" s="4" t="s">
        <v>26</v>
      </c>
      <c r="R306" s="4">
        <v>0</v>
      </c>
      <c r="S306" s="4" t="s">
        <v>245</v>
      </c>
      <c r="T306" s="4" t="s">
        <v>406</v>
      </c>
      <c r="U306" s="4">
        <v>0</v>
      </c>
      <c r="V306" s="4">
        <v>28</v>
      </c>
      <c r="W306" s="4">
        <v>76</v>
      </c>
    </row>
    <row r="307" spans="1:23" ht="11.25" customHeight="1" x14ac:dyDescent="0.3">
      <c r="A307" s="4" t="s">
        <v>28</v>
      </c>
      <c r="B307" s="4" t="s">
        <v>33</v>
      </c>
      <c r="C307" s="4" t="s">
        <v>23</v>
      </c>
      <c r="D307" s="4" t="s">
        <v>34</v>
      </c>
      <c r="E307" s="4" t="s">
        <v>25</v>
      </c>
      <c r="F307" s="4" t="s">
        <v>25</v>
      </c>
      <c r="G307" s="4" t="s">
        <v>25</v>
      </c>
      <c r="H307" s="4" t="s">
        <v>25</v>
      </c>
      <c r="I307" s="5">
        <v>44682</v>
      </c>
      <c r="J307" s="6">
        <v>0</v>
      </c>
      <c r="K307" s="6">
        <v>0</v>
      </c>
      <c r="L307" s="6">
        <v>0.2</v>
      </c>
      <c r="M307" s="6">
        <v>0.2</v>
      </c>
      <c r="N307" s="6">
        <v>0.2</v>
      </c>
      <c r="O307" s="6">
        <v>0.2</v>
      </c>
      <c r="P307" s="6">
        <v>2</v>
      </c>
      <c r="Q307" s="4" t="s">
        <v>26</v>
      </c>
      <c r="R307" s="4">
        <v>0</v>
      </c>
      <c r="S307" s="4" t="s">
        <v>245</v>
      </c>
      <c r="T307" s="4" t="s">
        <v>406</v>
      </c>
      <c r="U307" s="4">
        <v>0</v>
      </c>
      <c r="V307" s="4">
        <v>28</v>
      </c>
      <c r="W307" s="4">
        <v>76</v>
      </c>
    </row>
    <row r="308" spans="1:23" ht="11.25" customHeight="1" x14ac:dyDescent="0.3">
      <c r="A308" s="4" t="s">
        <v>21</v>
      </c>
      <c r="B308" s="4" t="s">
        <v>33</v>
      </c>
      <c r="C308" s="4" t="s">
        <v>23</v>
      </c>
      <c r="D308" s="4" t="s">
        <v>34</v>
      </c>
      <c r="E308" s="4" t="s">
        <v>25</v>
      </c>
      <c r="F308" s="4" t="s">
        <v>25</v>
      </c>
      <c r="G308" s="4" t="s">
        <v>25</v>
      </c>
      <c r="H308" s="4" t="s">
        <v>25</v>
      </c>
      <c r="I308" s="5">
        <v>44713</v>
      </c>
      <c r="J308" s="6">
        <v>0</v>
      </c>
      <c r="K308" s="6">
        <v>0</v>
      </c>
      <c r="L308" s="6">
        <v>151.81399999999999</v>
      </c>
      <c r="M308" s="6">
        <v>151.81399999999999</v>
      </c>
      <c r="N308" s="6">
        <v>151.81399999999999</v>
      </c>
      <c r="O308" s="6">
        <v>151.81399999999999</v>
      </c>
      <c r="P308" s="6">
        <v>67</v>
      </c>
      <c r="Q308" s="4" t="s">
        <v>26</v>
      </c>
      <c r="R308" s="4">
        <v>0</v>
      </c>
      <c r="S308" s="4" t="s">
        <v>246</v>
      </c>
      <c r="T308" s="4" t="s">
        <v>407</v>
      </c>
      <c r="U308" s="4">
        <v>0</v>
      </c>
      <c r="V308" s="4">
        <v>28</v>
      </c>
      <c r="W308" s="4">
        <v>76</v>
      </c>
    </row>
    <row r="309" spans="1:23" ht="11.25" customHeight="1" x14ac:dyDescent="0.3">
      <c r="A309" s="4" t="s">
        <v>28</v>
      </c>
      <c r="B309" s="4" t="s">
        <v>33</v>
      </c>
      <c r="C309" s="4" t="s">
        <v>23</v>
      </c>
      <c r="D309" s="4" t="s">
        <v>34</v>
      </c>
      <c r="E309" s="4" t="s">
        <v>25</v>
      </c>
      <c r="F309" s="4" t="s">
        <v>25</v>
      </c>
      <c r="G309" s="4" t="s">
        <v>25</v>
      </c>
      <c r="H309" s="4" t="s">
        <v>25</v>
      </c>
      <c r="I309" s="5">
        <v>44713</v>
      </c>
      <c r="J309" s="6">
        <v>0</v>
      </c>
      <c r="K309" s="6">
        <v>0</v>
      </c>
      <c r="L309" s="6">
        <v>3.6019999999999999</v>
      </c>
      <c r="M309" s="6">
        <v>3.6019999999999999</v>
      </c>
      <c r="N309" s="6">
        <v>3.6019999999999999</v>
      </c>
      <c r="O309" s="6">
        <v>3.6019999999999999</v>
      </c>
      <c r="P309" s="6">
        <v>2</v>
      </c>
      <c r="Q309" s="4" t="s">
        <v>26</v>
      </c>
      <c r="R309" s="4">
        <v>0</v>
      </c>
      <c r="S309" s="4" t="s">
        <v>246</v>
      </c>
      <c r="T309" s="4" t="s">
        <v>407</v>
      </c>
      <c r="U309" s="4">
        <v>0</v>
      </c>
      <c r="V309" s="4">
        <v>28</v>
      </c>
      <c r="W309" s="4">
        <v>76</v>
      </c>
    </row>
    <row r="310" spans="1:23" ht="11.25" customHeight="1" x14ac:dyDescent="0.3">
      <c r="A310" s="4" t="s">
        <v>21</v>
      </c>
      <c r="B310" s="4" t="s">
        <v>33</v>
      </c>
      <c r="C310" s="4" t="s">
        <v>23</v>
      </c>
      <c r="D310" s="4" t="s">
        <v>34</v>
      </c>
      <c r="E310" s="4" t="s">
        <v>25</v>
      </c>
      <c r="F310" s="4" t="s">
        <v>25</v>
      </c>
      <c r="G310" s="4" t="s">
        <v>25</v>
      </c>
      <c r="H310" s="4" t="s">
        <v>25</v>
      </c>
      <c r="I310" s="5">
        <v>44743</v>
      </c>
      <c r="J310" s="6">
        <v>0</v>
      </c>
      <c r="K310" s="6">
        <v>0</v>
      </c>
      <c r="L310" s="6">
        <v>120.703</v>
      </c>
      <c r="M310" s="6">
        <v>120.703</v>
      </c>
      <c r="N310" s="6">
        <v>120.703</v>
      </c>
      <c r="O310" s="6">
        <v>120.703</v>
      </c>
      <c r="P310" s="6">
        <v>67</v>
      </c>
      <c r="Q310" s="4" t="s">
        <v>26</v>
      </c>
      <c r="R310" s="4">
        <v>0</v>
      </c>
      <c r="S310" s="4" t="s">
        <v>247</v>
      </c>
      <c r="T310" s="4" t="s">
        <v>408</v>
      </c>
      <c r="U310" s="4">
        <v>0</v>
      </c>
      <c r="V310" s="4">
        <v>28</v>
      </c>
      <c r="W310" s="4">
        <v>76</v>
      </c>
    </row>
    <row r="311" spans="1:23" ht="11.25" customHeight="1" x14ac:dyDescent="0.3">
      <c r="A311" s="4" t="s">
        <v>27</v>
      </c>
      <c r="B311" s="4" t="s">
        <v>33</v>
      </c>
      <c r="C311" s="4" t="s">
        <v>23</v>
      </c>
      <c r="D311" s="4" t="s">
        <v>34</v>
      </c>
      <c r="E311" s="4" t="s">
        <v>25</v>
      </c>
      <c r="F311" s="4" t="s">
        <v>25</v>
      </c>
      <c r="G311" s="4" t="s">
        <v>25</v>
      </c>
      <c r="H311" s="4" t="s">
        <v>25</v>
      </c>
      <c r="I311" s="5">
        <v>44743</v>
      </c>
      <c r="J311" s="6">
        <v>0</v>
      </c>
      <c r="K311" s="6">
        <v>0</v>
      </c>
      <c r="L311" s="6">
        <v>-0.33900000000000002</v>
      </c>
      <c r="M311" s="6">
        <v>-0.33900000000000002</v>
      </c>
      <c r="N311" s="6">
        <v>-0.33900000000000002</v>
      </c>
      <c r="O311" s="6">
        <v>-0.33900000000000002</v>
      </c>
      <c r="P311" s="6">
        <v>0</v>
      </c>
      <c r="Q311" s="4" t="s">
        <v>26</v>
      </c>
      <c r="R311" s="4">
        <v>0</v>
      </c>
      <c r="S311" s="4" t="s">
        <v>247</v>
      </c>
      <c r="T311" s="4" t="s">
        <v>408</v>
      </c>
      <c r="U311" s="4">
        <v>0</v>
      </c>
      <c r="V311" s="4">
        <v>28</v>
      </c>
      <c r="W311" s="4">
        <v>76</v>
      </c>
    </row>
    <row r="312" spans="1:23" ht="11.25" customHeight="1" x14ac:dyDescent="0.3">
      <c r="A312" s="4" t="s">
        <v>28</v>
      </c>
      <c r="B312" s="4" t="s">
        <v>33</v>
      </c>
      <c r="C312" s="4" t="s">
        <v>23</v>
      </c>
      <c r="D312" s="4" t="s">
        <v>34</v>
      </c>
      <c r="E312" s="4" t="s">
        <v>25</v>
      </c>
      <c r="F312" s="4" t="s">
        <v>25</v>
      </c>
      <c r="G312" s="4" t="s">
        <v>25</v>
      </c>
      <c r="H312" s="4" t="s">
        <v>25</v>
      </c>
      <c r="I312" s="5">
        <v>44743</v>
      </c>
      <c r="J312" s="6">
        <v>0</v>
      </c>
      <c r="K312" s="6">
        <v>0</v>
      </c>
      <c r="L312" s="6">
        <v>2.363</v>
      </c>
      <c r="M312" s="6">
        <v>2.363</v>
      </c>
      <c r="N312" s="6">
        <v>2.363</v>
      </c>
      <c r="O312" s="6">
        <v>2.363</v>
      </c>
      <c r="P312" s="6">
        <v>2</v>
      </c>
      <c r="Q312" s="4" t="s">
        <v>26</v>
      </c>
      <c r="R312" s="4">
        <v>0</v>
      </c>
      <c r="S312" s="4" t="s">
        <v>247</v>
      </c>
      <c r="T312" s="4" t="s">
        <v>408</v>
      </c>
      <c r="U312" s="4">
        <v>0</v>
      </c>
      <c r="V312" s="4">
        <v>28</v>
      </c>
      <c r="W312" s="4">
        <v>76</v>
      </c>
    </row>
    <row r="313" spans="1:23" ht="11.25" customHeight="1" x14ac:dyDescent="0.3">
      <c r="A313" s="4" t="s">
        <v>52</v>
      </c>
      <c r="B313" s="4" t="s">
        <v>33</v>
      </c>
      <c r="C313" s="4" t="s">
        <v>23</v>
      </c>
      <c r="D313" s="4" t="s">
        <v>34</v>
      </c>
      <c r="E313" s="4" t="s">
        <v>25</v>
      </c>
      <c r="F313" s="4" t="s">
        <v>25</v>
      </c>
      <c r="G313" s="4" t="s">
        <v>25</v>
      </c>
      <c r="H313" s="4" t="s">
        <v>25</v>
      </c>
      <c r="I313" s="5">
        <v>44774</v>
      </c>
      <c r="J313" s="6">
        <v>0</v>
      </c>
      <c r="K313" s="6">
        <v>0</v>
      </c>
      <c r="L313" s="6">
        <v>120.703</v>
      </c>
      <c r="M313" s="6">
        <v>120.703</v>
      </c>
      <c r="N313" s="6">
        <v>120.703</v>
      </c>
      <c r="O313" s="6">
        <v>120.703</v>
      </c>
      <c r="P313" s="6">
        <v>67</v>
      </c>
      <c r="Q313" s="4" t="s">
        <v>26</v>
      </c>
      <c r="R313" s="4">
        <v>0</v>
      </c>
      <c r="S313" s="4" t="s">
        <v>248</v>
      </c>
      <c r="T313" s="4" t="s">
        <v>409</v>
      </c>
      <c r="U313" s="4">
        <v>0</v>
      </c>
      <c r="V313" s="4">
        <v>28</v>
      </c>
      <c r="W313" s="4">
        <v>76</v>
      </c>
    </row>
    <row r="314" spans="1:23" ht="11.25" customHeight="1" x14ac:dyDescent="0.3">
      <c r="A314" s="4" t="s">
        <v>52</v>
      </c>
      <c r="B314" s="4" t="s">
        <v>33</v>
      </c>
      <c r="C314" s="4" t="s">
        <v>23</v>
      </c>
      <c r="D314" s="4" t="s">
        <v>34</v>
      </c>
      <c r="E314" s="4" t="s">
        <v>25</v>
      </c>
      <c r="F314" s="4" t="s">
        <v>25</v>
      </c>
      <c r="G314" s="4" t="s">
        <v>25</v>
      </c>
      <c r="H314" s="4" t="s">
        <v>25</v>
      </c>
      <c r="I314" s="5">
        <v>44774</v>
      </c>
      <c r="J314" s="6">
        <v>0</v>
      </c>
      <c r="K314" s="6">
        <v>0</v>
      </c>
      <c r="L314" s="6">
        <v>-0.33900000000000002</v>
      </c>
      <c r="M314" s="6">
        <v>-0.33900000000000002</v>
      </c>
      <c r="N314" s="6">
        <v>-0.33900000000000002</v>
      </c>
      <c r="O314" s="6">
        <v>-0.33900000000000002</v>
      </c>
      <c r="P314" s="6">
        <v>0</v>
      </c>
      <c r="Q314" s="4" t="s">
        <v>26</v>
      </c>
      <c r="R314" s="4">
        <v>0</v>
      </c>
      <c r="S314" s="4" t="s">
        <v>248</v>
      </c>
      <c r="T314" s="4" t="s">
        <v>409</v>
      </c>
      <c r="U314" s="4">
        <v>0</v>
      </c>
      <c r="V314" s="4">
        <v>28</v>
      </c>
      <c r="W314" s="4">
        <v>76</v>
      </c>
    </row>
    <row r="315" spans="1:23" ht="11.25" customHeight="1" x14ac:dyDescent="0.3">
      <c r="A315" s="4" t="s">
        <v>52</v>
      </c>
      <c r="B315" s="4" t="s">
        <v>33</v>
      </c>
      <c r="C315" s="4" t="s">
        <v>23</v>
      </c>
      <c r="D315" s="4" t="s">
        <v>34</v>
      </c>
      <c r="E315" s="4" t="s">
        <v>25</v>
      </c>
      <c r="F315" s="4" t="s">
        <v>25</v>
      </c>
      <c r="G315" s="4" t="s">
        <v>25</v>
      </c>
      <c r="H315" s="4" t="s">
        <v>25</v>
      </c>
      <c r="I315" s="5">
        <v>44774</v>
      </c>
      <c r="J315" s="6">
        <v>0</v>
      </c>
      <c r="K315" s="6">
        <v>0</v>
      </c>
      <c r="L315" s="6">
        <v>2.363</v>
      </c>
      <c r="M315" s="6">
        <v>2.363</v>
      </c>
      <c r="N315" s="6">
        <v>2.363</v>
      </c>
      <c r="O315" s="6">
        <v>2.363</v>
      </c>
      <c r="P315" s="6">
        <v>2</v>
      </c>
      <c r="Q315" s="4" t="s">
        <v>26</v>
      </c>
      <c r="R315" s="4">
        <v>0</v>
      </c>
      <c r="S315" s="4" t="s">
        <v>248</v>
      </c>
      <c r="T315" s="4" t="s">
        <v>409</v>
      </c>
      <c r="U315" s="4">
        <v>0</v>
      </c>
      <c r="V315" s="4">
        <v>28</v>
      </c>
      <c r="W315" s="4">
        <v>76</v>
      </c>
    </row>
    <row r="316" spans="1:23" ht="11.25" customHeight="1" x14ac:dyDescent="0.3">
      <c r="A316" s="4" t="s">
        <v>21</v>
      </c>
      <c r="B316" s="4" t="s">
        <v>33</v>
      </c>
      <c r="C316" s="4" t="s">
        <v>23</v>
      </c>
      <c r="D316" s="4" t="s">
        <v>44</v>
      </c>
      <c r="E316" s="4" t="s">
        <v>25</v>
      </c>
      <c r="F316" s="4" t="s">
        <v>25</v>
      </c>
      <c r="G316" s="4" t="s">
        <v>25</v>
      </c>
      <c r="H316" s="4" t="s">
        <v>25</v>
      </c>
      <c r="I316" s="5">
        <v>44440</v>
      </c>
      <c r="J316" s="6">
        <v>0</v>
      </c>
      <c r="K316" s="6">
        <v>0</v>
      </c>
      <c r="L316" s="6">
        <v>22.864000000000001</v>
      </c>
      <c r="M316" s="6">
        <v>22.864000000000001</v>
      </c>
      <c r="N316" s="6">
        <v>22.864000000000001</v>
      </c>
      <c r="O316" s="6">
        <v>22.864000000000001</v>
      </c>
      <c r="P316" s="6">
        <v>82</v>
      </c>
      <c r="Q316" s="4" t="s">
        <v>26</v>
      </c>
      <c r="R316" s="4">
        <v>0</v>
      </c>
      <c r="S316" s="4" t="s">
        <v>237</v>
      </c>
      <c r="T316" s="4" t="s">
        <v>398</v>
      </c>
      <c r="U316" s="4">
        <v>0</v>
      </c>
      <c r="V316" s="4">
        <v>28</v>
      </c>
      <c r="W316" s="4">
        <v>76</v>
      </c>
    </row>
    <row r="317" spans="1:23" ht="11.25" customHeight="1" x14ac:dyDescent="0.3">
      <c r="A317" s="4" t="s">
        <v>21</v>
      </c>
      <c r="B317" s="4" t="s">
        <v>33</v>
      </c>
      <c r="C317" s="4" t="s">
        <v>23</v>
      </c>
      <c r="D317" s="4" t="s">
        <v>44</v>
      </c>
      <c r="E317" s="4" t="s">
        <v>25</v>
      </c>
      <c r="F317" s="4" t="s">
        <v>25</v>
      </c>
      <c r="G317" s="4" t="s">
        <v>25</v>
      </c>
      <c r="H317" s="4" t="s">
        <v>25</v>
      </c>
      <c r="I317" s="5">
        <v>44470</v>
      </c>
      <c r="J317" s="6">
        <v>0</v>
      </c>
      <c r="K317" s="6">
        <v>0</v>
      </c>
      <c r="L317" s="6">
        <v>24.074999999999999</v>
      </c>
      <c r="M317" s="6">
        <v>24.074999999999999</v>
      </c>
      <c r="N317" s="6">
        <v>24.074999999999999</v>
      </c>
      <c r="O317" s="6">
        <v>24.074999999999999</v>
      </c>
      <c r="P317" s="6">
        <v>81</v>
      </c>
      <c r="Q317" s="4" t="s">
        <v>26</v>
      </c>
      <c r="R317" s="4">
        <v>0</v>
      </c>
      <c r="S317" s="4" t="s">
        <v>238</v>
      </c>
      <c r="T317" s="4" t="s">
        <v>399</v>
      </c>
      <c r="U317" s="4">
        <v>0</v>
      </c>
      <c r="V317" s="4">
        <v>28</v>
      </c>
      <c r="W317" s="4">
        <v>76</v>
      </c>
    </row>
    <row r="318" spans="1:23" ht="11.25" customHeight="1" x14ac:dyDescent="0.3">
      <c r="A318" s="4" t="s">
        <v>21</v>
      </c>
      <c r="B318" s="4" t="s">
        <v>33</v>
      </c>
      <c r="C318" s="4" t="s">
        <v>23</v>
      </c>
      <c r="D318" s="4" t="s">
        <v>44</v>
      </c>
      <c r="E318" s="4" t="s">
        <v>25</v>
      </c>
      <c r="F318" s="4" t="s">
        <v>25</v>
      </c>
      <c r="G318" s="4" t="s">
        <v>25</v>
      </c>
      <c r="H318" s="4" t="s">
        <v>25</v>
      </c>
      <c r="I318" s="5">
        <v>44501</v>
      </c>
      <c r="J318" s="6">
        <v>0</v>
      </c>
      <c r="K318" s="6">
        <v>0</v>
      </c>
      <c r="L318" s="6">
        <v>27.227</v>
      </c>
      <c r="M318" s="6">
        <v>27.227</v>
      </c>
      <c r="N318" s="6">
        <v>27.227</v>
      </c>
      <c r="O318" s="6">
        <v>27.227</v>
      </c>
      <c r="P318" s="6">
        <v>81</v>
      </c>
      <c r="Q318" s="4" t="s">
        <v>26</v>
      </c>
      <c r="R318" s="4">
        <v>0</v>
      </c>
      <c r="S318" s="4" t="s">
        <v>239</v>
      </c>
      <c r="T318" s="4" t="s">
        <v>400</v>
      </c>
      <c r="U318" s="4">
        <v>0</v>
      </c>
      <c r="V318" s="4">
        <v>28</v>
      </c>
      <c r="W318" s="4">
        <v>76</v>
      </c>
    </row>
    <row r="319" spans="1:23" ht="11.25" customHeight="1" x14ac:dyDescent="0.3">
      <c r="A319" s="4" t="s">
        <v>21</v>
      </c>
      <c r="B319" s="4" t="s">
        <v>33</v>
      </c>
      <c r="C319" s="4" t="s">
        <v>23</v>
      </c>
      <c r="D319" s="4" t="s">
        <v>44</v>
      </c>
      <c r="E319" s="4" t="s">
        <v>25</v>
      </c>
      <c r="F319" s="4" t="s">
        <v>25</v>
      </c>
      <c r="G319" s="4" t="s">
        <v>25</v>
      </c>
      <c r="H319" s="4" t="s">
        <v>25</v>
      </c>
      <c r="I319" s="5">
        <v>44531</v>
      </c>
      <c r="J319" s="6">
        <v>0</v>
      </c>
      <c r="K319" s="6">
        <v>0</v>
      </c>
      <c r="L319" s="6">
        <v>26.853000000000002</v>
      </c>
      <c r="M319" s="6">
        <v>26.853000000000002</v>
      </c>
      <c r="N319" s="6">
        <v>26.853000000000002</v>
      </c>
      <c r="O319" s="6">
        <v>26.853000000000002</v>
      </c>
      <c r="P319" s="6">
        <v>81</v>
      </c>
      <c r="Q319" s="4" t="s">
        <v>26</v>
      </c>
      <c r="R319" s="4">
        <v>0</v>
      </c>
      <c r="S319" s="4" t="s">
        <v>240</v>
      </c>
      <c r="T319" s="4" t="s">
        <v>401</v>
      </c>
      <c r="U319" s="4">
        <v>0</v>
      </c>
      <c r="V319" s="4">
        <v>28</v>
      </c>
      <c r="W319" s="4">
        <v>76</v>
      </c>
    </row>
    <row r="320" spans="1:23" ht="11.25" customHeight="1" x14ac:dyDescent="0.3">
      <c r="A320" s="4" t="s">
        <v>21</v>
      </c>
      <c r="B320" s="4" t="s">
        <v>33</v>
      </c>
      <c r="C320" s="4" t="s">
        <v>23</v>
      </c>
      <c r="D320" s="4" t="s">
        <v>44</v>
      </c>
      <c r="E320" s="4" t="s">
        <v>25</v>
      </c>
      <c r="F320" s="4" t="s">
        <v>25</v>
      </c>
      <c r="G320" s="4" t="s">
        <v>25</v>
      </c>
      <c r="H320" s="4" t="s">
        <v>25</v>
      </c>
      <c r="I320" s="5">
        <v>44562</v>
      </c>
      <c r="J320" s="6">
        <v>0</v>
      </c>
      <c r="K320" s="6">
        <v>0</v>
      </c>
      <c r="L320" s="6">
        <v>111.35599999999999</v>
      </c>
      <c r="M320" s="6">
        <v>111.35599999999999</v>
      </c>
      <c r="N320" s="6">
        <v>111.35599999999999</v>
      </c>
      <c r="O320" s="6">
        <v>111.35599999999999</v>
      </c>
      <c r="P320" s="6">
        <v>81</v>
      </c>
      <c r="Q320" s="4" t="s">
        <v>26</v>
      </c>
      <c r="R320" s="4">
        <v>0</v>
      </c>
      <c r="S320" s="4" t="s">
        <v>241</v>
      </c>
      <c r="T320" s="4" t="s">
        <v>402</v>
      </c>
      <c r="U320" s="4">
        <v>0</v>
      </c>
      <c r="V320" s="4">
        <v>28</v>
      </c>
      <c r="W320" s="4">
        <v>76</v>
      </c>
    </row>
    <row r="321" spans="1:23" ht="11.25" customHeight="1" x14ac:dyDescent="0.3">
      <c r="A321" s="4" t="s">
        <v>27</v>
      </c>
      <c r="B321" s="4" t="s">
        <v>33</v>
      </c>
      <c r="C321" s="4" t="s">
        <v>23</v>
      </c>
      <c r="D321" s="4" t="s">
        <v>44</v>
      </c>
      <c r="E321" s="4" t="s">
        <v>25</v>
      </c>
      <c r="F321" s="4" t="s">
        <v>25</v>
      </c>
      <c r="G321" s="4" t="s">
        <v>25</v>
      </c>
      <c r="H321" s="4" t="s">
        <v>25</v>
      </c>
      <c r="I321" s="5">
        <v>44562</v>
      </c>
      <c r="J321" s="6">
        <v>0</v>
      </c>
      <c r="K321" s="6">
        <v>0</v>
      </c>
      <c r="L321" s="6">
        <v>-87.14</v>
      </c>
      <c r="M321" s="6">
        <v>-87.14</v>
      </c>
      <c r="N321" s="6">
        <v>-87.14</v>
      </c>
      <c r="O321" s="6">
        <v>-87.14</v>
      </c>
      <c r="P321" s="6">
        <v>0</v>
      </c>
      <c r="Q321" s="4" t="s">
        <v>26</v>
      </c>
      <c r="R321" s="4">
        <v>0</v>
      </c>
      <c r="S321" s="4" t="s">
        <v>241</v>
      </c>
      <c r="T321" s="4" t="s">
        <v>402</v>
      </c>
      <c r="U321" s="4">
        <v>0</v>
      </c>
      <c r="V321" s="4">
        <v>28</v>
      </c>
      <c r="W321" s="4">
        <v>76</v>
      </c>
    </row>
    <row r="322" spans="1:23" ht="11.25" customHeight="1" x14ac:dyDescent="0.3">
      <c r="A322" s="4" t="s">
        <v>21</v>
      </c>
      <c r="B322" s="4" t="s">
        <v>33</v>
      </c>
      <c r="C322" s="4" t="s">
        <v>23</v>
      </c>
      <c r="D322" s="4" t="s">
        <v>44</v>
      </c>
      <c r="E322" s="4" t="s">
        <v>25</v>
      </c>
      <c r="F322" s="4" t="s">
        <v>25</v>
      </c>
      <c r="G322" s="4" t="s">
        <v>25</v>
      </c>
      <c r="H322" s="4" t="s">
        <v>25</v>
      </c>
      <c r="I322" s="5">
        <v>44593</v>
      </c>
      <c r="J322" s="6">
        <v>0</v>
      </c>
      <c r="K322" s="6">
        <v>0</v>
      </c>
      <c r="L322" s="6">
        <v>34.493000000000002</v>
      </c>
      <c r="M322" s="6">
        <v>34.493000000000002</v>
      </c>
      <c r="N322" s="6">
        <v>34.493000000000002</v>
      </c>
      <c r="O322" s="6">
        <v>34.493000000000002</v>
      </c>
      <c r="P322" s="6">
        <v>82</v>
      </c>
      <c r="Q322" s="4" t="s">
        <v>26</v>
      </c>
      <c r="R322" s="4">
        <v>0</v>
      </c>
      <c r="S322" s="4" t="s">
        <v>242</v>
      </c>
      <c r="T322" s="4" t="s">
        <v>403</v>
      </c>
      <c r="U322" s="4">
        <v>0</v>
      </c>
      <c r="V322" s="4">
        <v>28</v>
      </c>
      <c r="W322" s="4">
        <v>76</v>
      </c>
    </row>
    <row r="323" spans="1:23" ht="11.25" customHeight="1" x14ac:dyDescent="0.3">
      <c r="A323" s="4" t="s">
        <v>21</v>
      </c>
      <c r="B323" s="4" t="s">
        <v>33</v>
      </c>
      <c r="C323" s="4" t="s">
        <v>23</v>
      </c>
      <c r="D323" s="4" t="s">
        <v>44</v>
      </c>
      <c r="E323" s="4" t="s">
        <v>25</v>
      </c>
      <c r="F323" s="4" t="s">
        <v>25</v>
      </c>
      <c r="G323" s="4" t="s">
        <v>25</v>
      </c>
      <c r="H323" s="4" t="s">
        <v>25</v>
      </c>
      <c r="I323" s="5">
        <v>44621</v>
      </c>
      <c r="J323" s="6">
        <v>0</v>
      </c>
      <c r="K323" s="6">
        <v>0</v>
      </c>
      <c r="L323" s="6">
        <v>41.313000000000002</v>
      </c>
      <c r="M323" s="6">
        <v>41.313000000000002</v>
      </c>
      <c r="N323" s="6">
        <v>41.313000000000002</v>
      </c>
      <c r="O323" s="6">
        <v>41.313000000000002</v>
      </c>
      <c r="P323" s="6">
        <v>83</v>
      </c>
      <c r="Q323" s="4" t="s">
        <v>26</v>
      </c>
      <c r="R323" s="4">
        <v>0</v>
      </c>
      <c r="S323" s="4" t="s">
        <v>243</v>
      </c>
      <c r="T323" s="4" t="s">
        <v>404</v>
      </c>
      <c r="U323" s="4">
        <v>0</v>
      </c>
      <c r="V323" s="4">
        <v>28</v>
      </c>
      <c r="W323" s="4">
        <v>76</v>
      </c>
    </row>
    <row r="324" spans="1:23" ht="11.25" customHeight="1" x14ac:dyDescent="0.3">
      <c r="A324" s="4" t="s">
        <v>21</v>
      </c>
      <c r="B324" s="4" t="s">
        <v>33</v>
      </c>
      <c r="C324" s="4" t="s">
        <v>23</v>
      </c>
      <c r="D324" s="4" t="s">
        <v>44</v>
      </c>
      <c r="E324" s="4" t="s">
        <v>25</v>
      </c>
      <c r="F324" s="4" t="s">
        <v>25</v>
      </c>
      <c r="G324" s="4" t="s">
        <v>25</v>
      </c>
      <c r="H324" s="4" t="s">
        <v>25</v>
      </c>
      <c r="I324" s="5">
        <v>44652</v>
      </c>
      <c r="J324" s="6">
        <v>0</v>
      </c>
      <c r="K324" s="6">
        <v>0</v>
      </c>
      <c r="L324" s="6">
        <v>25.792000000000002</v>
      </c>
      <c r="M324" s="6">
        <v>25.792000000000002</v>
      </c>
      <c r="N324" s="6">
        <v>25.792000000000002</v>
      </c>
      <c r="O324" s="6">
        <v>25.792000000000002</v>
      </c>
      <c r="P324" s="6">
        <v>83</v>
      </c>
      <c r="Q324" s="4" t="s">
        <v>26</v>
      </c>
      <c r="R324" s="4">
        <v>0</v>
      </c>
      <c r="S324" s="4" t="s">
        <v>244</v>
      </c>
      <c r="T324" s="4" t="s">
        <v>405</v>
      </c>
      <c r="U324" s="4">
        <v>0</v>
      </c>
      <c r="V324" s="4">
        <v>28</v>
      </c>
      <c r="W324" s="4">
        <v>76</v>
      </c>
    </row>
    <row r="325" spans="1:23" ht="11.25" customHeight="1" x14ac:dyDescent="0.3">
      <c r="A325" s="4" t="s">
        <v>21</v>
      </c>
      <c r="B325" s="4" t="s">
        <v>33</v>
      </c>
      <c r="C325" s="4" t="s">
        <v>23</v>
      </c>
      <c r="D325" s="4" t="s">
        <v>44</v>
      </c>
      <c r="E325" s="4" t="s">
        <v>25</v>
      </c>
      <c r="F325" s="4" t="s">
        <v>25</v>
      </c>
      <c r="G325" s="4" t="s">
        <v>25</v>
      </c>
      <c r="H325" s="4" t="s">
        <v>25</v>
      </c>
      <c r="I325" s="5">
        <v>44682</v>
      </c>
      <c r="J325" s="6">
        <v>0</v>
      </c>
      <c r="K325" s="6">
        <v>0</v>
      </c>
      <c r="L325" s="6">
        <v>25.332999999999998</v>
      </c>
      <c r="M325" s="6">
        <v>25.332999999999998</v>
      </c>
      <c r="N325" s="6">
        <v>25.332999999999998</v>
      </c>
      <c r="O325" s="6">
        <v>25.332999999999998</v>
      </c>
      <c r="P325" s="6">
        <v>83</v>
      </c>
      <c r="Q325" s="4" t="s">
        <v>26</v>
      </c>
      <c r="R325" s="4">
        <v>0</v>
      </c>
      <c r="S325" s="4" t="s">
        <v>245</v>
      </c>
      <c r="T325" s="4" t="s">
        <v>406</v>
      </c>
      <c r="U325" s="4">
        <v>0</v>
      </c>
      <c r="V325" s="4">
        <v>28</v>
      </c>
      <c r="W325" s="4">
        <v>76</v>
      </c>
    </row>
    <row r="326" spans="1:23" ht="11.25" customHeight="1" x14ac:dyDescent="0.3">
      <c r="A326" s="4" t="s">
        <v>21</v>
      </c>
      <c r="B326" s="4" t="s">
        <v>33</v>
      </c>
      <c r="C326" s="4" t="s">
        <v>23</v>
      </c>
      <c r="D326" s="4" t="s">
        <v>44</v>
      </c>
      <c r="E326" s="4" t="s">
        <v>25</v>
      </c>
      <c r="F326" s="4" t="s">
        <v>25</v>
      </c>
      <c r="G326" s="4" t="s">
        <v>25</v>
      </c>
      <c r="H326" s="4" t="s">
        <v>25</v>
      </c>
      <c r="I326" s="5">
        <v>44713</v>
      </c>
      <c r="J326" s="6">
        <v>0</v>
      </c>
      <c r="K326" s="6">
        <v>0</v>
      </c>
      <c r="L326" s="6">
        <v>28.655999999999999</v>
      </c>
      <c r="M326" s="6">
        <v>28.655999999999999</v>
      </c>
      <c r="N326" s="6">
        <v>28.655999999999999</v>
      </c>
      <c r="O326" s="6">
        <v>28.655999999999999</v>
      </c>
      <c r="P326" s="6">
        <v>83</v>
      </c>
      <c r="Q326" s="4" t="s">
        <v>26</v>
      </c>
      <c r="R326" s="4">
        <v>0</v>
      </c>
      <c r="S326" s="4" t="s">
        <v>246</v>
      </c>
      <c r="T326" s="4" t="s">
        <v>407</v>
      </c>
      <c r="U326" s="4">
        <v>0</v>
      </c>
      <c r="V326" s="4">
        <v>28</v>
      </c>
      <c r="W326" s="4">
        <v>76</v>
      </c>
    </row>
    <row r="327" spans="1:23" ht="11.25" customHeight="1" x14ac:dyDescent="0.3">
      <c r="A327" s="4" t="s">
        <v>21</v>
      </c>
      <c r="B327" s="4" t="s">
        <v>33</v>
      </c>
      <c r="C327" s="4" t="s">
        <v>23</v>
      </c>
      <c r="D327" s="4" t="s">
        <v>44</v>
      </c>
      <c r="E327" s="4" t="s">
        <v>25</v>
      </c>
      <c r="F327" s="4" t="s">
        <v>25</v>
      </c>
      <c r="G327" s="4" t="s">
        <v>25</v>
      </c>
      <c r="H327" s="4" t="s">
        <v>25</v>
      </c>
      <c r="I327" s="5">
        <v>44743</v>
      </c>
      <c r="J327" s="6">
        <v>0</v>
      </c>
      <c r="K327" s="6">
        <v>0</v>
      </c>
      <c r="L327" s="6">
        <v>27.748000000000001</v>
      </c>
      <c r="M327" s="6">
        <v>27.748000000000001</v>
      </c>
      <c r="N327" s="6">
        <v>27.748000000000001</v>
      </c>
      <c r="O327" s="6">
        <v>27.748000000000001</v>
      </c>
      <c r="P327" s="6">
        <v>83</v>
      </c>
      <c r="Q327" s="4" t="s">
        <v>26</v>
      </c>
      <c r="R327" s="4">
        <v>0</v>
      </c>
      <c r="S327" s="4" t="s">
        <v>247</v>
      </c>
      <c r="T327" s="4" t="s">
        <v>408</v>
      </c>
      <c r="U327" s="4">
        <v>0</v>
      </c>
      <c r="V327" s="4">
        <v>28</v>
      </c>
      <c r="W327" s="4">
        <v>76</v>
      </c>
    </row>
    <row r="328" spans="1:23" ht="11.25" customHeight="1" x14ac:dyDescent="0.3">
      <c r="A328" s="4" t="s">
        <v>52</v>
      </c>
      <c r="B328" s="4" t="s">
        <v>33</v>
      </c>
      <c r="C328" s="4" t="s">
        <v>23</v>
      </c>
      <c r="D328" s="4" t="s">
        <v>44</v>
      </c>
      <c r="E328" s="4" t="s">
        <v>25</v>
      </c>
      <c r="F328" s="4" t="s">
        <v>25</v>
      </c>
      <c r="G328" s="4" t="s">
        <v>25</v>
      </c>
      <c r="H328" s="4" t="s">
        <v>25</v>
      </c>
      <c r="I328" s="5">
        <v>44774</v>
      </c>
      <c r="J328" s="6">
        <v>0</v>
      </c>
      <c r="K328" s="6">
        <v>0</v>
      </c>
      <c r="L328" s="6">
        <v>27.748000000000001</v>
      </c>
      <c r="M328" s="6">
        <v>27.748000000000001</v>
      </c>
      <c r="N328" s="6">
        <v>27.748000000000001</v>
      </c>
      <c r="O328" s="6">
        <v>27.748000000000001</v>
      </c>
      <c r="P328" s="6">
        <v>83</v>
      </c>
      <c r="Q328" s="4" t="s">
        <v>26</v>
      </c>
      <c r="R328" s="4">
        <v>0</v>
      </c>
      <c r="S328" s="4" t="s">
        <v>248</v>
      </c>
      <c r="T328" s="4" t="s">
        <v>409</v>
      </c>
      <c r="U328" s="4">
        <v>0</v>
      </c>
      <c r="V328" s="4">
        <v>28</v>
      </c>
      <c r="W328" s="4">
        <v>76</v>
      </c>
    </row>
    <row r="329" spans="1:23" ht="11.25" customHeight="1" x14ac:dyDescent="0.3">
      <c r="A329" s="4" t="s">
        <v>21</v>
      </c>
      <c r="B329" s="4" t="s">
        <v>33</v>
      </c>
      <c r="C329" s="4" t="s">
        <v>23</v>
      </c>
      <c r="D329" s="4" t="s">
        <v>48</v>
      </c>
      <c r="E329" s="4" t="s">
        <v>49</v>
      </c>
      <c r="F329" s="4" t="s">
        <v>25</v>
      </c>
      <c r="G329" s="4" t="s">
        <v>25</v>
      </c>
      <c r="H329" s="4" t="s">
        <v>25</v>
      </c>
      <c r="I329" s="5">
        <v>44440</v>
      </c>
      <c r="J329" s="6">
        <v>0</v>
      </c>
      <c r="K329" s="6">
        <v>0</v>
      </c>
      <c r="L329" s="6">
        <v>4.5170000000000003</v>
      </c>
      <c r="M329" s="6">
        <v>4.2459800000000003</v>
      </c>
      <c r="N329" s="6">
        <v>4.5170000000000003</v>
      </c>
      <c r="O329" s="6">
        <v>4.2459800000000003</v>
      </c>
      <c r="P329" s="6">
        <v>7</v>
      </c>
      <c r="Q329" s="4" t="s">
        <v>26</v>
      </c>
      <c r="R329" s="4">
        <v>0</v>
      </c>
      <c r="S329" s="4" t="s">
        <v>237</v>
      </c>
      <c r="T329" s="4" t="s">
        <v>398</v>
      </c>
      <c r="U329" s="4">
        <v>0</v>
      </c>
      <c r="V329" s="4">
        <v>28</v>
      </c>
      <c r="W329" s="4">
        <v>76</v>
      </c>
    </row>
    <row r="330" spans="1:23" ht="11.25" customHeight="1" x14ac:dyDescent="0.3">
      <c r="A330" s="4" t="s">
        <v>21</v>
      </c>
      <c r="B330" s="4" t="s">
        <v>33</v>
      </c>
      <c r="C330" s="4" t="s">
        <v>23</v>
      </c>
      <c r="D330" s="4" t="s">
        <v>48</v>
      </c>
      <c r="E330" s="4" t="s">
        <v>49</v>
      </c>
      <c r="F330" s="4" t="s">
        <v>25</v>
      </c>
      <c r="G330" s="4" t="s">
        <v>25</v>
      </c>
      <c r="H330" s="4" t="s">
        <v>25</v>
      </c>
      <c r="I330" s="5">
        <v>44470</v>
      </c>
      <c r="J330" s="6">
        <v>0</v>
      </c>
      <c r="K330" s="6">
        <v>0</v>
      </c>
      <c r="L330" s="6">
        <v>4.6639999999999997</v>
      </c>
      <c r="M330" s="6">
        <v>4.3841599999999996</v>
      </c>
      <c r="N330" s="6">
        <v>4.6639999999999997</v>
      </c>
      <c r="O330" s="6">
        <v>4.3841599999999996</v>
      </c>
      <c r="P330" s="6">
        <v>7</v>
      </c>
      <c r="Q330" s="4" t="s">
        <v>26</v>
      </c>
      <c r="R330" s="4">
        <v>0</v>
      </c>
      <c r="S330" s="4" t="s">
        <v>238</v>
      </c>
      <c r="T330" s="4" t="s">
        <v>399</v>
      </c>
      <c r="U330" s="4">
        <v>0</v>
      </c>
      <c r="V330" s="4">
        <v>28</v>
      </c>
      <c r="W330" s="4">
        <v>76</v>
      </c>
    </row>
    <row r="331" spans="1:23" ht="11.25" customHeight="1" x14ac:dyDescent="0.3">
      <c r="A331" s="4" t="s">
        <v>21</v>
      </c>
      <c r="B331" s="4" t="s">
        <v>33</v>
      </c>
      <c r="C331" s="4" t="s">
        <v>23</v>
      </c>
      <c r="D331" s="4" t="s">
        <v>48</v>
      </c>
      <c r="E331" s="4" t="s">
        <v>49</v>
      </c>
      <c r="F331" s="4" t="s">
        <v>25</v>
      </c>
      <c r="G331" s="4" t="s">
        <v>25</v>
      </c>
      <c r="H331" s="4" t="s">
        <v>25</v>
      </c>
      <c r="I331" s="5">
        <v>44501</v>
      </c>
      <c r="J331" s="6">
        <v>0</v>
      </c>
      <c r="K331" s="6">
        <v>0</v>
      </c>
      <c r="L331" s="6">
        <v>4.6029999999999998</v>
      </c>
      <c r="M331" s="6">
        <v>4.3268199999999997</v>
      </c>
      <c r="N331" s="6">
        <v>4.6029999999999998</v>
      </c>
      <c r="O331" s="6">
        <v>4.3268199999999997</v>
      </c>
      <c r="P331" s="6">
        <v>7</v>
      </c>
      <c r="Q331" s="4" t="s">
        <v>26</v>
      </c>
      <c r="R331" s="4">
        <v>0</v>
      </c>
      <c r="S331" s="4" t="s">
        <v>239</v>
      </c>
      <c r="T331" s="4" t="s">
        <v>400</v>
      </c>
      <c r="U331" s="4">
        <v>0</v>
      </c>
      <c r="V331" s="4">
        <v>28</v>
      </c>
      <c r="W331" s="4">
        <v>76</v>
      </c>
    </row>
    <row r="332" spans="1:23" ht="11.25" customHeight="1" x14ac:dyDescent="0.3">
      <c r="A332" s="4" t="s">
        <v>21</v>
      </c>
      <c r="B332" s="4" t="s">
        <v>33</v>
      </c>
      <c r="C332" s="4" t="s">
        <v>23</v>
      </c>
      <c r="D332" s="4" t="s">
        <v>48</v>
      </c>
      <c r="E332" s="4" t="s">
        <v>49</v>
      </c>
      <c r="F332" s="4" t="s">
        <v>25</v>
      </c>
      <c r="G332" s="4" t="s">
        <v>25</v>
      </c>
      <c r="H332" s="4" t="s">
        <v>25</v>
      </c>
      <c r="I332" s="5">
        <v>44531</v>
      </c>
      <c r="J332" s="6">
        <v>0</v>
      </c>
      <c r="K332" s="6">
        <v>0</v>
      </c>
      <c r="L332" s="6">
        <v>4.399</v>
      </c>
      <c r="M332" s="6">
        <v>4.1350600000000002</v>
      </c>
      <c r="N332" s="6">
        <v>4.399</v>
      </c>
      <c r="O332" s="6">
        <v>4.1350600000000002</v>
      </c>
      <c r="P332" s="6">
        <v>7</v>
      </c>
      <c r="Q332" s="4" t="s">
        <v>26</v>
      </c>
      <c r="R332" s="4">
        <v>0</v>
      </c>
      <c r="S332" s="4" t="s">
        <v>240</v>
      </c>
      <c r="T332" s="4" t="s">
        <v>401</v>
      </c>
      <c r="U332" s="4">
        <v>0</v>
      </c>
      <c r="V332" s="4">
        <v>28</v>
      </c>
      <c r="W332" s="4">
        <v>76</v>
      </c>
    </row>
    <row r="333" spans="1:23" ht="11.25" customHeight="1" x14ac:dyDescent="0.3">
      <c r="A333" s="4" t="s">
        <v>21</v>
      </c>
      <c r="B333" s="4" t="s">
        <v>33</v>
      </c>
      <c r="C333" s="4" t="s">
        <v>23</v>
      </c>
      <c r="D333" s="4" t="s">
        <v>48</v>
      </c>
      <c r="E333" s="4" t="s">
        <v>49</v>
      </c>
      <c r="F333" s="4" t="s">
        <v>25</v>
      </c>
      <c r="G333" s="4" t="s">
        <v>25</v>
      </c>
      <c r="H333" s="4" t="s">
        <v>25</v>
      </c>
      <c r="I333" s="5">
        <v>44562</v>
      </c>
      <c r="J333" s="6">
        <v>0</v>
      </c>
      <c r="K333" s="6">
        <v>0</v>
      </c>
      <c r="L333" s="6">
        <v>4.9820000000000002</v>
      </c>
      <c r="M333" s="6">
        <v>4.6830800000000004</v>
      </c>
      <c r="N333" s="6">
        <v>4.9820000000000002</v>
      </c>
      <c r="O333" s="6">
        <v>4.6830800000000004</v>
      </c>
      <c r="P333" s="6">
        <v>7</v>
      </c>
      <c r="Q333" s="4" t="s">
        <v>26</v>
      </c>
      <c r="R333" s="4">
        <v>0</v>
      </c>
      <c r="S333" s="4" t="s">
        <v>241</v>
      </c>
      <c r="T333" s="4" t="s">
        <v>402</v>
      </c>
      <c r="U333" s="4">
        <v>0</v>
      </c>
      <c r="V333" s="4">
        <v>28</v>
      </c>
      <c r="W333" s="4">
        <v>76</v>
      </c>
    </row>
    <row r="334" spans="1:23" ht="11.25" customHeight="1" x14ac:dyDescent="0.3">
      <c r="A334" s="4" t="s">
        <v>21</v>
      </c>
      <c r="B334" s="4" t="s">
        <v>33</v>
      </c>
      <c r="C334" s="4" t="s">
        <v>23</v>
      </c>
      <c r="D334" s="4" t="s">
        <v>48</v>
      </c>
      <c r="E334" s="4" t="s">
        <v>49</v>
      </c>
      <c r="F334" s="4" t="s">
        <v>25</v>
      </c>
      <c r="G334" s="4" t="s">
        <v>25</v>
      </c>
      <c r="H334" s="4" t="s">
        <v>25</v>
      </c>
      <c r="I334" s="5">
        <v>44593</v>
      </c>
      <c r="J334" s="6">
        <v>0</v>
      </c>
      <c r="K334" s="6">
        <v>0</v>
      </c>
      <c r="L334" s="6">
        <v>5.7190000000000003</v>
      </c>
      <c r="M334" s="6">
        <v>5.3758600000000003</v>
      </c>
      <c r="N334" s="6">
        <v>5.7190000000000003</v>
      </c>
      <c r="O334" s="6">
        <v>5.3758600000000003</v>
      </c>
      <c r="P334" s="6">
        <v>7</v>
      </c>
      <c r="Q334" s="4" t="s">
        <v>26</v>
      </c>
      <c r="R334" s="4">
        <v>0</v>
      </c>
      <c r="S334" s="4" t="s">
        <v>242</v>
      </c>
      <c r="T334" s="4" t="s">
        <v>403</v>
      </c>
      <c r="U334" s="4">
        <v>0</v>
      </c>
      <c r="V334" s="4">
        <v>28</v>
      </c>
      <c r="W334" s="4">
        <v>76</v>
      </c>
    </row>
    <row r="335" spans="1:23" ht="11.25" customHeight="1" x14ac:dyDescent="0.3">
      <c r="A335" s="4" t="s">
        <v>21</v>
      </c>
      <c r="B335" s="4" t="s">
        <v>33</v>
      </c>
      <c r="C335" s="4" t="s">
        <v>23</v>
      </c>
      <c r="D335" s="4" t="s">
        <v>48</v>
      </c>
      <c r="E335" s="4" t="s">
        <v>49</v>
      </c>
      <c r="F335" s="4" t="s">
        <v>25</v>
      </c>
      <c r="G335" s="4" t="s">
        <v>25</v>
      </c>
      <c r="H335" s="4" t="s">
        <v>25</v>
      </c>
      <c r="I335" s="5">
        <v>44621</v>
      </c>
      <c r="J335" s="6">
        <v>0</v>
      </c>
      <c r="K335" s="6">
        <v>0</v>
      </c>
      <c r="L335" s="6">
        <v>5.2949999999999999</v>
      </c>
      <c r="M335" s="6">
        <v>4.9772999999999996</v>
      </c>
      <c r="N335" s="6">
        <v>5.2949999999999999</v>
      </c>
      <c r="O335" s="6">
        <v>4.9772999999999996</v>
      </c>
      <c r="P335" s="6">
        <v>7</v>
      </c>
      <c r="Q335" s="4" t="s">
        <v>26</v>
      </c>
      <c r="R335" s="4">
        <v>0</v>
      </c>
      <c r="S335" s="4" t="s">
        <v>243</v>
      </c>
      <c r="T335" s="4" t="s">
        <v>404</v>
      </c>
      <c r="U335" s="4">
        <v>0</v>
      </c>
      <c r="V335" s="4">
        <v>28</v>
      </c>
      <c r="W335" s="4">
        <v>76</v>
      </c>
    </row>
    <row r="336" spans="1:23" ht="11.25" customHeight="1" x14ac:dyDescent="0.3">
      <c r="A336" s="4" t="s">
        <v>21</v>
      </c>
      <c r="B336" s="4" t="s">
        <v>33</v>
      </c>
      <c r="C336" s="4" t="s">
        <v>23</v>
      </c>
      <c r="D336" s="4" t="s">
        <v>48</v>
      </c>
      <c r="E336" s="4" t="s">
        <v>49</v>
      </c>
      <c r="F336" s="4" t="s">
        <v>25</v>
      </c>
      <c r="G336" s="4" t="s">
        <v>25</v>
      </c>
      <c r="H336" s="4" t="s">
        <v>25</v>
      </c>
      <c r="I336" s="5">
        <v>44652</v>
      </c>
      <c r="J336" s="6">
        <v>0</v>
      </c>
      <c r="K336" s="6">
        <v>0</v>
      </c>
      <c r="L336" s="6">
        <v>4.95</v>
      </c>
      <c r="M336" s="6">
        <v>4.6529999999999996</v>
      </c>
      <c r="N336" s="6">
        <v>4.95</v>
      </c>
      <c r="O336" s="6">
        <v>4.6529999999999996</v>
      </c>
      <c r="P336" s="6">
        <v>7</v>
      </c>
      <c r="Q336" s="4" t="s">
        <v>26</v>
      </c>
      <c r="R336" s="4">
        <v>0</v>
      </c>
      <c r="S336" s="4" t="s">
        <v>244</v>
      </c>
      <c r="T336" s="4" t="s">
        <v>405</v>
      </c>
      <c r="U336" s="4">
        <v>0</v>
      </c>
      <c r="V336" s="4">
        <v>28</v>
      </c>
      <c r="W336" s="4">
        <v>76</v>
      </c>
    </row>
    <row r="337" spans="1:23" ht="11.25" customHeight="1" x14ac:dyDescent="0.3">
      <c r="A337" s="4" t="s">
        <v>21</v>
      </c>
      <c r="B337" s="4" t="s">
        <v>33</v>
      </c>
      <c r="C337" s="4" t="s">
        <v>23</v>
      </c>
      <c r="D337" s="4" t="s">
        <v>48</v>
      </c>
      <c r="E337" s="4" t="s">
        <v>49</v>
      </c>
      <c r="F337" s="4" t="s">
        <v>25</v>
      </c>
      <c r="G337" s="4" t="s">
        <v>25</v>
      </c>
      <c r="H337" s="4" t="s">
        <v>25</v>
      </c>
      <c r="I337" s="5">
        <v>44682</v>
      </c>
      <c r="J337" s="6">
        <v>0</v>
      </c>
      <c r="K337" s="6">
        <v>0</v>
      </c>
      <c r="L337" s="6">
        <v>4.4809999999999999</v>
      </c>
      <c r="M337" s="6">
        <v>4.2121399999999998</v>
      </c>
      <c r="N337" s="6">
        <v>4.4809999999999999</v>
      </c>
      <c r="O337" s="6">
        <v>4.2121399999999998</v>
      </c>
      <c r="P337" s="6">
        <v>7</v>
      </c>
      <c r="Q337" s="4" t="s">
        <v>26</v>
      </c>
      <c r="R337" s="4">
        <v>0</v>
      </c>
      <c r="S337" s="4" t="s">
        <v>245</v>
      </c>
      <c r="T337" s="4" t="s">
        <v>406</v>
      </c>
      <c r="U337" s="4">
        <v>0</v>
      </c>
      <c r="V337" s="4">
        <v>28</v>
      </c>
      <c r="W337" s="4">
        <v>76</v>
      </c>
    </row>
    <row r="338" spans="1:23" ht="11.25" customHeight="1" x14ac:dyDescent="0.3">
      <c r="A338" s="4" t="s">
        <v>21</v>
      </c>
      <c r="B338" s="4" t="s">
        <v>33</v>
      </c>
      <c r="C338" s="4" t="s">
        <v>23</v>
      </c>
      <c r="D338" s="4" t="s">
        <v>48</v>
      </c>
      <c r="E338" s="4" t="s">
        <v>49</v>
      </c>
      <c r="F338" s="4" t="s">
        <v>25</v>
      </c>
      <c r="G338" s="4" t="s">
        <v>25</v>
      </c>
      <c r="H338" s="4" t="s">
        <v>25</v>
      </c>
      <c r="I338" s="5">
        <v>44713</v>
      </c>
      <c r="J338" s="6">
        <v>0</v>
      </c>
      <c r="K338" s="6">
        <v>0</v>
      </c>
      <c r="L338" s="6">
        <v>6.141</v>
      </c>
      <c r="M338" s="6">
        <v>5.7725400000000002</v>
      </c>
      <c r="N338" s="6">
        <v>6.141</v>
      </c>
      <c r="O338" s="6">
        <v>5.7725400000000002</v>
      </c>
      <c r="P338" s="6">
        <v>7</v>
      </c>
      <c r="Q338" s="4" t="s">
        <v>26</v>
      </c>
      <c r="R338" s="4">
        <v>0</v>
      </c>
      <c r="S338" s="4" t="s">
        <v>246</v>
      </c>
      <c r="T338" s="4" t="s">
        <v>407</v>
      </c>
      <c r="U338" s="4">
        <v>0</v>
      </c>
      <c r="V338" s="4">
        <v>28</v>
      </c>
      <c r="W338" s="4">
        <v>76</v>
      </c>
    </row>
    <row r="339" spans="1:23" ht="11.25" customHeight="1" x14ac:dyDescent="0.3">
      <c r="A339" s="4" t="s">
        <v>21</v>
      </c>
      <c r="B339" s="4" t="s">
        <v>33</v>
      </c>
      <c r="C339" s="4" t="s">
        <v>23</v>
      </c>
      <c r="D339" s="4" t="s">
        <v>48</v>
      </c>
      <c r="E339" s="4" t="s">
        <v>49</v>
      </c>
      <c r="F339" s="4" t="s">
        <v>25</v>
      </c>
      <c r="G339" s="4" t="s">
        <v>25</v>
      </c>
      <c r="H339" s="4" t="s">
        <v>25</v>
      </c>
      <c r="I339" s="5">
        <v>44743</v>
      </c>
      <c r="J339" s="6">
        <v>0</v>
      </c>
      <c r="K339" s="6">
        <v>0</v>
      </c>
      <c r="L339" s="6">
        <v>5.5609999999999999</v>
      </c>
      <c r="M339" s="6">
        <v>5.2273399999999999</v>
      </c>
      <c r="N339" s="6">
        <v>5.5609999999999999</v>
      </c>
      <c r="O339" s="6">
        <v>5.2273399999999999</v>
      </c>
      <c r="P339" s="6">
        <v>7</v>
      </c>
      <c r="Q339" s="4" t="s">
        <v>26</v>
      </c>
      <c r="R339" s="4">
        <v>0</v>
      </c>
      <c r="S339" s="4" t="s">
        <v>247</v>
      </c>
      <c r="T339" s="4" t="s">
        <v>408</v>
      </c>
      <c r="U339" s="4">
        <v>0</v>
      </c>
      <c r="V339" s="4">
        <v>28</v>
      </c>
      <c r="W339" s="4">
        <v>76</v>
      </c>
    </row>
    <row r="340" spans="1:23" ht="11.25" customHeight="1" x14ac:dyDescent="0.3">
      <c r="A340" s="4" t="s">
        <v>52</v>
      </c>
      <c r="B340" s="4" t="s">
        <v>33</v>
      </c>
      <c r="C340" s="4" t="s">
        <v>23</v>
      </c>
      <c r="D340" s="4" t="s">
        <v>48</v>
      </c>
      <c r="E340" s="4" t="s">
        <v>49</v>
      </c>
      <c r="F340" s="4" t="s">
        <v>25</v>
      </c>
      <c r="G340" s="4" t="s">
        <v>25</v>
      </c>
      <c r="H340" s="4" t="s">
        <v>25</v>
      </c>
      <c r="I340" s="5">
        <v>44774</v>
      </c>
      <c r="J340" s="6">
        <v>0</v>
      </c>
      <c r="K340" s="6">
        <v>0</v>
      </c>
      <c r="L340" s="6">
        <v>5.5609999999999999</v>
      </c>
      <c r="M340" s="6">
        <v>5.2273399999999999</v>
      </c>
      <c r="N340" s="6">
        <v>5.5609999999999999</v>
      </c>
      <c r="O340" s="6">
        <v>5.2273399999999999</v>
      </c>
      <c r="P340" s="6">
        <v>7</v>
      </c>
      <c r="Q340" s="4" t="s">
        <v>26</v>
      </c>
      <c r="R340" s="4">
        <v>0</v>
      </c>
      <c r="S340" s="4" t="s">
        <v>248</v>
      </c>
      <c r="T340" s="4" t="s">
        <v>409</v>
      </c>
      <c r="U340" s="4">
        <v>0</v>
      </c>
      <c r="V340" s="4">
        <v>28</v>
      </c>
      <c r="W340" s="4">
        <v>76</v>
      </c>
    </row>
    <row r="341" spans="1:23" ht="11.25" customHeight="1" x14ac:dyDescent="0.3">
      <c r="A341" s="4" t="s">
        <v>21</v>
      </c>
      <c r="B341" s="4" t="s">
        <v>45</v>
      </c>
      <c r="C341" s="4" t="s">
        <v>23</v>
      </c>
      <c r="D341" s="4" t="s">
        <v>46</v>
      </c>
      <c r="E341" s="4" t="s">
        <v>47</v>
      </c>
      <c r="F341" s="4" t="s">
        <v>25</v>
      </c>
      <c r="G341" s="4" t="s">
        <v>25</v>
      </c>
      <c r="H341" s="4" t="s">
        <v>25</v>
      </c>
      <c r="I341" s="5">
        <v>44440</v>
      </c>
      <c r="J341" s="6">
        <v>0</v>
      </c>
      <c r="K341" s="6">
        <v>0</v>
      </c>
      <c r="L341" s="6">
        <v>83.29</v>
      </c>
      <c r="M341" s="6">
        <v>83.29</v>
      </c>
      <c r="N341" s="6">
        <v>83.29</v>
      </c>
      <c r="O341" s="6">
        <v>83.29</v>
      </c>
      <c r="P341" s="6">
        <v>2</v>
      </c>
      <c r="Q341" s="4" t="s">
        <v>26</v>
      </c>
      <c r="R341" s="4">
        <v>0</v>
      </c>
      <c r="S341" s="4" t="s">
        <v>249</v>
      </c>
      <c r="T341" s="4" t="s">
        <v>410</v>
      </c>
      <c r="U341" s="4">
        <v>0</v>
      </c>
      <c r="V341" s="4">
        <v>46</v>
      </c>
      <c r="W341" s="4">
        <v>82</v>
      </c>
    </row>
    <row r="342" spans="1:23" ht="11.25" customHeight="1" x14ac:dyDescent="0.3">
      <c r="A342" s="4" t="s">
        <v>21</v>
      </c>
      <c r="B342" s="4" t="s">
        <v>45</v>
      </c>
      <c r="C342" s="4" t="s">
        <v>23</v>
      </c>
      <c r="D342" s="4" t="s">
        <v>46</v>
      </c>
      <c r="E342" s="4" t="s">
        <v>47</v>
      </c>
      <c r="F342" s="4" t="s">
        <v>25</v>
      </c>
      <c r="G342" s="4" t="s">
        <v>25</v>
      </c>
      <c r="H342" s="4" t="s">
        <v>25</v>
      </c>
      <c r="I342" s="5">
        <v>44470</v>
      </c>
      <c r="J342" s="6">
        <v>0</v>
      </c>
      <c r="K342" s="6">
        <v>0</v>
      </c>
      <c r="L342" s="6">
        <v>83.29</v>
      </c>
      <c r="M342" s="6">
        <v>83.29</v>
      </c>
      <c r="N342" s="6">
        <v>83.29</v>
      </c>
      <c r="O342" s="6">
        <v>83.29</v>
      </c>
      <c r="P342" s="6">
        <v>2</v>
      </c>
      <c r="Q342" s="4" t="s">
        <v>26</v>
      </c>
      <c r="R342" s="4">
        <v>0</v>
      </c>
      <c r="S342" s="4" t="s">
        <v>250</v>
      </c>
      <c r="T342" s="4" t="s">
        <v>411</v>
      </c>
      <c r="U342" s="4">
        <v>0</v>
      </c>
      <c r="V342" s="4">
        <v>46</v>
      </c>
      <c r="W342" s="4">
        <v>82</v>
      </c>
    </row>
    <row r="343" spans="1:23" ht="11.25" customHeight="1" x14ac:dyDescent="0.3">
      <c r="A343" s="4" t="s">
        <v>21</v>
      </c>
      <c r="B343" s="4" t="s">
        <v>45</v>
      </c>
      <c r="C343" s="4" t="s">
        <v>23</v>
      </c>
      <c r="D343" s="4" t="s">
        <v>46</v>
      </c>
      <c r="E343" s="4" t="s">
        <v>47</v>
      </c>
      <c r="F343" s="4" t="s">
        <v>25</v>
      </c>
      <c r="G343" s="4" t="s">
        <v>25</v>
      </c>
      <c r="H343" s="4" t="s">
        <v>25</v>
      </c>
      <c r="I343" s="5">
        <v>44501</v>
      </c>
      <c r="J343" s="6">
        <v>0</v>
      </c>
      <c r="K343" s="6">
        <v>0</v>
      </c>
      <c r="L343" s="6">
        <v>83.29</v>
      </c>
      <c r="M343" s="6">
        <v>83.29</v>
      </c>
      <c r="N343" s="6">
        <v>83.29</v>
      </c>
      <c r="O343" s="6">
        <v>83.29</v>
      </c>
      <c r="P343" s="6">
        <v>2</v>
      </c>
      <c r="Q343" s="4" t="s">
        <v>26</v>
      </c>
      <c r="R343" s="4">
        <v>0</v>
      </c>
      <c r="S343" s="4" t="s">
        <v>251</v>
      </c>
      <c r="T343" s="4" t="s">
        <v>412</v>
      </c>
      <c r="U343" s="4">
        <v>0</v>
      </c>
      <c r="V343" s="4">
        <v>46</v>
      </c>
      <c r="W343" s="4">
        <v>82</v>
      </c>
    </row>
    <row r="344" spans="1:23" ht="11.25" customHeight="1" x14ac:dyDescent="0.3">
      <c r="A344" s="4" t="s">
        <v>21</v>
      </c>
      <c r="B344" s="4" t="s">
        <v>45</v>
      </c>
      <c r="C344" s="4" t="s">
        <v>23</v>
      </c>
      <c r="D344" s="4" t="s">
        <v>46</v>
      </c>
      <c r="E344" s="4" t="s">
        <v>47</v>
      </c>
      <c r="F344" s="4" t="s">
        <v>25</v>
      </c>
      <c r="G344" s="4" t="s">
        <v>25</v>
      </c>
      <c r="H344" s="4" t="s">
        <v>25</v>
      </c>
      <c r="I344" s="5">
        <v>44531</v>
      </c>
      <c r="J344" s="6">
        <v>0</v>
      </c>
      <c r="K344" s="6">
        <v>0</v>
      </c>
      <c r="L344" s="6">
        <v>83.29</v>
      </c>
      <c r="M344" s="6">
        <v>83.29</v>
      </c>
      <c r="N344" s="6">
        <v>83.29</v>
      </c>
      <c r="O344" s="6">
        <v>83.29</v>
      </c>
      <c r="P344" s="6">
        <v>2</v>
      </c>
      <c r="Q344" s="4" t="s">
        <v>26</v>
      </c>
      <c r="R344" s="4">
        <v>0</v>
      </c>
      <c r="S344" s="4" t="s">
        <v>252</v>
      </c>
      <c r="T344" s="4" t="s">
        <v>413</v>
      </c>
      <c r="U344" s="4">
        <v>0</v>
      </c>
      <c r="V344" s="4">
        <v>46</v>
      </c>
      <c r="W344" s="4">
        <v>82</v>
      </c>
    </row>
    <row r="345" spans="1:23" ht="11.25" customHeight="1" x14ac:dyDescent="0.3">
      <c r="A345" s="4" t="s">
        <v>21</v>
      </c>
      <c r="B345" s="4" t="s">
        <v>45</v>
      </c>
      <c r="C345" s="4" t="s">
        <v>23</v>
      </c>
      <c r="D345" s="4" t="s">
        <v>46</v>
      </c>
      <c r="E345" s="4" t="s">
        <v>47</v>
      </c>
      <c r="F345" s="4" t="s">
        <v>25</v>
      </c>
      <c r="G345" s="4" t="s">
        <v>25</v>
      </c>
      <c r="H345" s="4" t="s">
        <v>25</v>
      </c>
      <c r="I345" s="5">
        <v>44562</v>
      </c>
      <c r="J345" s="6">
        <v>0</v>
      </c>
      <c r="K345" s="6">
        <v>0</v>
      </c>
      <c r="L345" s="6">
        <v>84.697999999999993</v>
      </c>
      <c r="M345" s="6">
        <v>84.697999999999993</v>
      </c>
      <c r="N345" s="6">
        <v>84.697999999999993</v>
      </c>
      <c r="O345" s="6">
        <v>84.697999999999993</v>
      </c>
      <c r="P345" s="6">
        <v>2</v>
      </c>
      <c r="Q345" s="4" t="s">
        <v>26</v>
      </c>
      <c r="R345" s="4">
        <v>0</v>
      </c>
      <c r="S345" s="4" t="s">
        <v>253</v>
      </c>
      <c r="T345" s="4" t="s">
        <v>414</v>
      </c>
      <c r="U345" s="4">
        <v>0</v>
      </c>
      <c r="V345" s="4">
        <v>46</v>
      </c>
      <c r="W345" s="4">
        <v>82</v>
      </c>
    </row>
    <row r="346" spans="1:23" ht="11.25" customHeight="1" x14ac:dyDescent="0.3">
      <c r="A346" s="4" t="s">
        <v>21</v>
      </c>
      <c r="B346" s="4" t="s">
        <v>45</v>
      </c>
      <c r="C346" s="4" t="s">
        <v>23</v>
      </c>
      <c r="D346" s="4" t="s">
        <v>46</v>
      </c>
      <c r="E346" s="4" t="s">
        <v>47</v>
      </c>
      <c r="F346" s="4" t="s">
        <v>25</v>
      </c>
      <c r="G346" s="4" t="s">
        <v>25</v>
      </c>
      <c r="H346" s="4" t="s">
        <v>25</v>
      </c>
      <c r="I346" s="5">
        <v>44593</v>
      </c>
      <c r="J346" s="6">
        <v>0</v>
      </c>
      <c r="K346" s="6">
        <v>0</v>
      </c>
      <c r="L346" s="6">
        <v>84.697999999999993</v>
      </c>
      <c r="M346" s="6">
        <v>84.697999999999993</v>
      </c>
      <c r="N346" s="6">
        <v>84.697999999999993</v>
      </c>
      <c r="O346" s="6">
        <v>84.697999999999993</v>
      </c>
      <c r="P346" s="6">
        <v>2</v>
      </c>
      <c r="Q346" s="4" t="s">
        <v>26</v>
      </c>
      <c r="R346" s="4">
        <v>0</v>
      </c>
      <c r="S346" s="4" t="s">
        <v>254</v>
      </c>
      <c r="T346" s="4" t="s">
        <v>415</v>
      </c>
      <c r="U346" s="4">
        <v>0</v>
      </c>
      <c r="V346" s="4">
        <v>46</v>
      </c>
      <c r="W346" s="4">
        <v>82</v>
      </c>
    </row>
    <row r="347" spans="1:23" ht="11.25" customHeight="1" x14ac:dyDescent="0.3">
      <c r="A347" s="4" t="s">
        <v>21</v>
      </c>
      <c r="B347" s="4" t="s">
        <v>45</v>
      </c>
      <c r="C347" s="4" t="s">
        <v>23</v>
      </c>
      <c r="D347" s="4" t="s">
        <v>46</v>
      </c>
      <c r="E347" s="4" t="s">
        <v>47</v>
      </c>
      <c r="F347" s="4" t="s">
        <v>25</v>
      </c>
      <c r="G347" s="4" t="s">
        <v>25</v>
      </c>
      <c r="H347" s="4" t="s">
        <v>25</v>
      </c>
      <c r="I347" s="5">
        <v>44621</v>
      </c>
      <c r="J347" s="6">
        <v>0</v>
      </c>
      <c r="K347" s="6">
        <v>0</v>
      </c>
      <c r="L347" s="6">
        <v>84.697999999999993</v>
      </c>
      <c r="M347" s="6">
        <v>84.697999999999993</v>
      </c>
      <c r="N347" s="6">
        <v>84.697999999999993</v>
      </c>
      <c r="O347" s="6">
        <v>84.697999999999993</v>
      </c>
      <c r="P347" s="6">
        <v>2</v>
      </c>
      <c r="Q347" s="4" t="s">
        <v>26</v>
      </c>
      <c r="R347" s="4">
        <v>0</v>
      </c>
      <c r="S347" s="4" t="s">
        <v>255</v>
      </c>
      <c r="T347" s="4" t="s">
        <v>416</v>
      </c>
      <c r="U347" s="4">
        <v>0</v>
      </c>
      <c r="V347" s="4">
        <v>46</v>
      </c>
      <c r="W347" s="4">
        <v>82</v>
      </c>
    </row>
    <row r="348" spans="1:23" ht="11.25" customHeight="1" x14ac:dyDescent="0.3">
      <c r="A348" s="4" t="s">
        <v>21</v>
      </c>
      <c r="B348" s="4" t="s">
        <v>45</v>
      </c>
      <c r="C348" s="4" t="s">
        <v>23</v>
      </c>
      <c r="D348" s="4" t="s">
        <v>46</v>
      </c>
      <c r="E348" s="4" t="s">
        <v>47</v>
      </c>
      <c r="F348" s="4" t="s">
        <v>25</v>
      </c>
      <c r="G348" s="4" t="s">
        <v>25</v>
      </c>
      <c r="H348" s="4" t="s">
        <v>25</v>
      </c>
      <c r="I348" s="5">
        <v>44652</v>
      </c>
      <c r="J348" s="6">
        <v>0</v>
      </c>
      <c r="K348" s="6">
        <v>0</v>
      </c>
      <c r="L348" s="6">
        <v>84.697999999999993</v>
      </c>
      <c r="M348" s="6">
        <v>84.697999999999993</v>
      </c>
      <c r="N348" s="6">
        <v>84.697999999999993</v>
      </c>
      <c r="O348" s="6">
        <v>84.697999999999993</v>
      </c>
      <c r="P348" s="6">
        <v>2</v>
      </c>
      <c r="Q348" s="4" t="s">
        <v>26</v>
      </c>
      <c r="R348" s="4">
        <v>0</v>
      </c>
      <c r="S348" s="4" t="s">
        <v>256</v>
      </c>
      <c r="T348" s="4" t="s">
        <v>417</v>
      </c>
      <c r="U348" s="4">
        <v>0</v>
      </c>
      <c r="V348" s="4">
        <v>46</v>
      </c>
      <c r="W348" s="4">
        <v>82</v>
      </c>
    </row>
    <row r="349" spans="1:23" ht="11.25" customHeight="1" x14ac:dyDescent="0.3">
      <c r="A349" s="4" t="s">
        <v>21</v>
      </c>
      <c r="B349" s="4" t="s">
        <v>45</v>
      </c>
      <c r="C349" s="4" t="s">
        <v>23</v>
      </c>
      <c r="D349" s="4" t="s">
        <v>46</v>
      </c>
      <c r="E349" s="4" t="s">
        <v>47</v>
      </c>
      <c r="F349" s="4" t="s">
        <v>25</v>
      </c>
      <c r="G349" s="4" t="s">
        <v>25</v>
      </c>
      <c r="H349" s="4" t="s">
        <v>25</v>
      </c>
      <c r="I349" s="5">
        <v>44682</v>
      </c>
      <c r="J349" s="6">
        <v>0</v>
      </c>
      <c r="K349" s="6">
        <v>0</v>
      </c>
      <c r="L349" s="6">
        <v>84.697999999999993</v>
      </c>
      <c r="M349" s="6">
        <v>84.697999999999993</v>
      </c>
      <c r="N349" s="6">
        <v>84.697999999999993</v>
      </c>
      <c r="O349" s="6">
        <v>84.697999999999993</v>
      </c>
      <c r="P349" s="6">
        <v>2</v>
      </c>
      <c r="Q349" s="4" t="s">
        <v>26</v>
      </c>
      <c r="R349" s="4">
        <v>0</v>
      </c>
      <c r="S349" s="4" t="s">
        <v>257</v>
      </c>
      <c r="T349" s="4" t="s">
        <v>418</v>
      </c>
      <c r="U349" s="4">
        <v>0</v>
      </c>
      <c r="V349" s="4">
        <v>46</v>
      </c>
      <c r="W349" s="4">
        <v>82</v>
      </c>
    </row>
    <row r="350" spans="1:23" ht="11.25" customHeight="1" x14ac:dyDescent="0.3">
      <c r="A350" s="4" t="s">
        <v>21</v>
      </c>
      <c r="B350" s="4" t="s">
        <v>45</v>
      </c>
      <c r="C350" s="4" t="s">
        <v>23</v>
      </c>
      <c r="D350" s="4" t="s">
        <v>46</v>
      </c>
      <c r="E350" s="4" t="s">
        <v>47</v>
      </c>
      <c r="F350" s="4" t="s">
        <v>25</v>
      </c>
      <c r="G350" s="4" t="s">
        <v>25</v>
      </c>
      <c r="H350" s="4" t="s">
        <v>25</v>
      </c>
      <c r="I350" s="5">
        <v>44713</v>
      </c>
      <c r="J350" s="6">
        <v>0</v>
      </c>
      <c r="K350" s="6">
        <v>0</v>
      </c>
      <c r="L350" s="6">
        <v>84.697999999999993</v>
      </c>
      <c r="M350" s="6">
        <v>84.697999999999993</v>
      </c>
      <c r="N350" s="6">
        <v>84.697999999999993</v>
      </c>
      <c r="O350" s="6">
        <v>84.697999999999993</v>
      </c>
      <c r="P350" s="6">
        <v>2</v>
      </c>
      <c r="Q350" s="4" t="s">
        <v>26</v>
      </c>
      <c r="R350" s="4">
        <v>0</v>
      </c>
      <c r="S350" s="4" t="s">
        <v>258</v>
      </c>
      <c r="T350" s="4" t="s">
        <v>419</v>
      </c>
      <c r="U350" s="4">
        <v>0</v>
      </c>
      <c r="V350" s="4">
        <v>46</v>
      </c>
      <c r="W350" s="4">
        <v>82</v>
      </c>
    </row>
    <row r="351" spans="1:23" ht="11.25" customHeight="1" x14ac:dyDescent="0.3">
      <c r="A351" s="4" t="s">
        <v>21</v>
      </c>
      <c r="B351" s="4" t="s">
        <v>45</v>
      </c>
      <c r="C351" s="4" t="s">
        <v>23</v>
      </c>
      <c r="D351" s="4" t="s">
        <v>46</v>
      </c>
      <c r="E351" s="4" t="s">
        <v>47</v>
      </c>
      <c r="F351" s="4" t="s">
        <v>25</v>
      </c>
      <c r="G351" s="4" t="s">
        <v>25</v>
      </c>
      <c r="H351" s="4" t="s">
        <v>25</v>
      </c>
      <c r="I351" s="5">
        <v>44743</v>
      </c>
      <c r="J351" s="6">
        <v>0</v>
      </c>
      <c r="K351" s="6">
        <v>0</v>
      </c>
      <c r="L351" s="6">
        <v>84.697999999999993</v>
      </c>
      <c r="M351" s="6">
        <v>84.697999999999993</v>
      </c>
      <c r="N351" s="6">
        <v>84.697999999999993</v>
      </c>
      <c r="O351" s="6">
        <v>84.697999999999993</v>
      </c>
      <c r="P351" s="6">
        <v>2</v>
      </c>
      <c r="Q351" s="4" t="s">
        <v>26</v>
      </c>
      <c r="R351" s="4">
        <v>0</v>
      </c>
      <c r="S351" s="4" t="s">
        <v>259</v>
      </c>
      <c r="T351" s="4" t="s">
        <v>420</v>
      </c>
      <c r="U351" s="4">
        <v>0</v>
      </c>
      <c r="V351" s="4">
        <v>46</v>
      </c>
      <c r="W351" s="4">
        <v>82</v>
      </c>
    </row>
    <row r="352" spans="1:23" ht="11.25" customHeight="1" x14ac:dyDescent="0.3">
      <c r="A352" s="4" t="s">
        <v>52</v>
      </c>
      <c r="B352" s="4" t="s">
        <v>45</v>
      </c>
      <c r="C352" s="4" t="s">
        <v>23</v>
      </c>
      <c r="D352" s="4" t="s">
        <v>46</v>
      </c>
      <c r="E352" s="4" t="s">
        <v>47</v>
      </c>
      <c r="F352" s="4" t="s">
        <v>25</v>
      </c>
      <c r="G352" s="4" t="s">
        <v>25</v>
      </c>
      <c r="H352" s="4" t="s">
        <v>25</v>
      </c>
      <c r="I352" s="5">
        <v>44774</v>
      </c>
      <c r="J352" s="6">
        <v>0</v>
      </c>
      <c r="K352" s="6">
        <v>0</v>
      </c>
      <c r="L352" s="6">
        <v>84.697999999999993</v>
      </c>
      <c r="M352" s="6">
        <v>84.697999999999993</v>
      </c>
      <c r="N352" s="6">
        <v>84.697999999999993</v>
      </c>
      <c r="O352" s="6">
        <v>84.697999999999993</v>
      </c>
      <c r="P352" s="6">
        <v>2</v>
      </c>
      <c r="Q352" s="4" t="s">
        <v>26</v>
      </c>
      <c r="R352" s="4">
        <v>0</v>
      </c>
      <c r="S352" s="4" t="s">
        <v>260</v>
      </c>
      <c r="T352" s="4" t="s">
        <v>421</v>
      </c>
      <c r="U352" s="4">
        <v>0</v>
      </c>
      <c r="V352" s="4">
        <v>46</v>
      </c>
      <c r="W352" s="4">
        <v>82</v>
      </c>
    </row>
  </sheetData>
  <sortState xmlns:xlrd2="http://schemas.microsoft.com/office/spreadsheetml/2017/richdata2" ref="A2:W352">
    <sortCondition ref="B2:B352"/>
    <sortCondition ref="C2:C352"/>
    <sortCondition ref="D2:D352"/>
    <sortCondition ref="E2:E352"/>
    <sortCondition ref="F2:F352"/>
    <sortCondition ref="H2:H352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0CD9-B221-4887-91E4-DFF249B745CD}">
  <sheetPr codeName="Planilha3"/>
  <dimension ref="A1:H42"/>
  <sheetViews>
    <sheetView showGridLines="0" workbookViewId="0">
      <selection activeCell="H1" sqref="H1"/>
    </sheetView>
  </sheetViews>
  <sheetFormatPr defaultColWidth="9.109375" defaultRowHeight="11.25" customHeight="1" x14ac:dyDescent="0.3"/>
  <cols>
    <col min="1" max="1" width="12.109375" style="8" bestFit="1" customWidth="1"/>
    <col min="2" max="2" width="15.88671875" style="8" bestFit="1" customWidth="1"/>
    <col min="3" max="3" width="4.6640625" style="8" bestFit="1" customWidth="1"/>
    <col min="4" max="4" width="6.44140625" style="8" bestFit="1" customWidth="1"/>
    <col min="5" max="5" width="8.44140625" style="8" bestFit="1" customWidth="1"/>
    <col min="6" max="6" width="9.109375" style="8"/>
    <col min="7" max="7" width="18.5546875" style="8" bestFit="1" customWidth="1"/>
    <col min="8" max="8" width="2" style="8" bestFit="1" customWidth="1"/>
    <col min="9" max="16384" width="9.109375" style="8"/>
  </cols>
  <sheetData>
    <row r="1" spans="1:8" s="7" customFormat="1" ht="11.25" customHeight="1" x14ac:dyDescent="0.3">
      <c r="A1" s="7" t="s">
        <v>53</v>
      </c>
      <c r="B1" s="7" t="s">
        <v>54</v>
      </c>
      <c r="C1" s="7" t="s">
        <v>55</v>
      </c>
      <c r="D1" s="7" t="s">
        <v>56</v>
      </c>
      <c r="E1" s="7" t="s">
        <v>57</v>
      </c>
      <c r="G1" s="7" t="s">
        <v>58</v>
      </c>
      <c r="H1" s="7">
        <f>COUNTA(A:A)</f>
        <v>42</v>
      </c>
    </row>
    <row r="2" spans="1:8" ht="11.25" customHeight="1" x14ac:dyDescent="0.3">
      <c r="A2" s="8" t="s">
        <v>276</v>
      </c>
      <c r="B2" s="8" t="s">
        <v>277</v>
      </c>
      <c r="C2" s="8" t="s">
        <v>278</v>
      </c>
      <c r="D2" s="8">
        <v>28</v>
      </c>
      <c r="E2" s="8" t="s">
        <v>279</v>
      </c>
    </row>
    <row r="3" spans="1:8" ht="11.25" customHeight="1" x14ac:dyDescent="0.3">
      <c r="A3" s="8" t="s">
        <v>276</v>
      </c>
      <c r="B3" s="8" t="s">
        <v>277</v>
      </c>
      <c r="C3" s="8" t="s">
        <v>278</v>
      </c>
      <c r="D3" s="8">
        <v>29</v>
      </c>
      <c r="E3" s="8" t="s">
        <v>279</v>
      </c>
    </row>
    <row r="4" spans="1:8" ht="11.25" customHeight="1" x14ac:dyDescent="0.3">
      <c r="A4" s="8" t="s">
        <v>276</v>
      </c>
      <c r="B4" s="8" t="s">
        <v>277</v>
      </c>
      <c r="C4" s="8" t="s">
        <v>278</v>
      </c>
      <c r="D4" s="8">
        <v>30</v>
      </c>
      <c r="E4" s="8" t="s">
        <v>279</v>
      </c>
    </row>
    <row r="5" spans="1:8" ht="11.25" customHeight="1" x14ac:dyDescent="0.3">
      <c r="A5" s="8" t="s">
        <v>276</v>
      </c>
      <c r="B5" s="8" t="s">
        <v>277</v>
      </c>
      <c r="C5" s="8" t="s">
        <v>278</v>
      </c>
      <c r="D5" s="8">
        <v>31</v>
      </c>
      <c r="E5" s="8" t="s">
        <v>279</v>
      </c>
    </row>
    <row r="6" spans="1:8" ht="11.25" customHeight="1" x14ac:dyDescent="0.3">
      <c r="A6" s="8" t="s">
        <v>276</v>
      </c>
      <c r="B6" s="8" t="s">
        <v>277</v>
      </c>
      <c r="C6" s="8" t="s">
        <v>278</v>
      </c>
      <c r="D6" s="8">
        <v>32</v>
      </c>
      <c r="E6" s="8" t="s">
        <v>279</v>
      </c>
    </row>
    <row r="7" spans="1:8" ht="11.25" customHeight="1" x14ac:dyDescent="0.3">
      <c r="A7" s="8" t="s">
        <v>276</v>
      </c>
      <c r="B7" s="8" t="s">
        <v>277</v>
      </c>
      <c r="C7" s="8" t="s">
        <v>278</v>
      </c>
      <c r="D7" s="8">
        <v>33</v>
      </c>
      <c r="E7" s="8" t="s">
        <v>279</v>
      </c>
    </row>
    <row r="8" spans="1:8" ht="11.25" customHeight="1" x14ac:dyDescent="0.3">
      <c r="A8" s="8" t="s">
        <v>276</v>
      </c>
      <c r="B8" s="8" t="s">
        <v>277</v>
      </c>
      <c r="C8" s="8" t="s">
        <v>278</v>
      </c>
      <c r="D8" s="8">
        <v>34</v>
      </c>
      <c r="E8" s="8" t="s">
        <v>279</v>
      </c>
    </row>
    <row r="9" spans="1:8" ht="11.25" customHeight="1" x14ac:dyDescent="0.3">
      <c r="A9" s="8" t="s">
        <v>276</v>
      </c>
      <c r="B9" s="8" t="s">
        <v>277</v>
      </c>
      <c r="C9" s="8" t="s">
        <v>278</v>
      </c>
      <c r="D9" s="8">
        <v>35</v>
      </c>
      <c r="E9" s="8" t="s">
        <v>279</v>
      </c>
    </row>
    <row r="10" spans="1:8" ht="11.25" customHeight="1" x14ac:dyDescent="0.3">
      <c r="A10" s="8" t="s">
        <v>276</v>
      </c>
      <c r="B10" s="8" t="s">
        <v>277</v>
      </c>
      <c r="C10" s="8" t="s">
        <v>278</v>
      </c>
      <c r="D10" s="8">
        <v>36</v>
      </c>
      <c r="E10" s="8" t="s">
        <v>279</v>
      </c>
    </row>
    <row r="11" spans="1:8" ht="11.25" customHeight="1" x14ac:dyDescent="0.3">
      <c r="A11" s="8" t="s">
        <v>276</v>
      </c>
      <c r="B11" s="8" t="s">
        <v>277</v>
      </c>
      <c r="C11" s="8" t="s">
        <v>278</v>
      </c>
      <c r="D11" s="8">
        <v>37</v>
      </c>
      <c r="E11" s="8" t="s">
        <v>279</v>
      </c>
    </row>
    <row r="12" spans="1:8" ht="11.25" customHeight="1" x14ac:dyDescent="0.3">
      <c r="A12" s="8" t="s">
        <v>276</v>
      </c>
      <c r="B12" s="8" t="s">
        <v>277</v>
      </c>
      <c r="C12" s="8" t="s">
        <v>278</v>
      </c>
      <c r="D12" s="8">
        <v>38</v>
      </c>
      <c r="E12" s="8" t="s">
        <v>279</v>
      </c>
    </row>
    <row r="13" spans="1:8" ht="11.25" customHeight="1" x14ac:dyDescent="0.3">
      <c r="A13" s="8" t="s">
        <v>276</v>
      </c>
      <c r="B13" s="8" t="s">
        <v>277</v>
      </c>
      <c r="C13" s="8" t="s">
        <v>278</v>
      </c>
      <c r="D13" s="8">
        <v>39</v>
      </c>
      <c r="E13" s="8" t="s">
        <v>279</v>
      </c>
    </row>
    <row r="14" spans="1:8" ht="11.25" customHeight="1" x14ac:dyDescent="0.3">
      <c r="A14" s="8" t="s">
        <v>276</v>
      </c>
      <c r="B14" s="8" t="s">
        <v>277</v>
      </c>
      <c r="C14" s="8" t="s">
        <v>278</v>
      </c>
      <c r="D14" s="8">
        <v>40</v>
      </c>
      <c r="E14" s="8" t="s">
        <v>279</v>
      </c>
    </row>
    <row r="15" spans="1:8" ht="11.25" customHeight="1" x14ac:dyDescent="0.3">
      <c r="A15" s="8" t="s">
        <v>276</v>
      </c>
      <c r="B15" s="8" t="s">
        <v>277</v>
      </c>
      <c r="C15" s="8" t="s">
        <v>278</v>
      </c>
      <c r="D15" s="8">
        <v>41</v>
      </c>
      <c r="E15" s="8" t="s">
        <v>279</v>
      </c>
    </row>
    <row r="16" spans="1:8" ht="11.25" customHeight="1" x14ac:dyDescent="0.3">
      <c r="A16" s="8" t="s">
        <v>276</v>
      </c>
      <c r="B16" s="8" t="s">
        <v>277</v>
      </c>
      <c r="C16" s="8" t="s">
        <v>278</v>
      </c>
      <c r="D16" s="8">
        <v>42</v>
      </c>
      <c r="E16" s="8" t="s">
        <v>279</v>
      </c>
    </row>
    <row r="17" spans="1:5" ht="11.25" customHeight="1" x14ac:dyDescent="0.3">
      <c r="A17" s="8" t="s">
        <v>276</v>
      </c>
      <c r="B17" s="8" t="s">
        <v>277</v>
      </c>
      <c r="C17" s="8" t="s">
        <v>278</v>
      </c>
      <c r="D17" s="8">
        <v>43</v>
      </c>
      <c r="E17" s="8" t="s">
        <v>279</v>
      </c>
    </row>
    <row r="18" spans="1:5" ht="11.25" customHeight="1" x14ac:dyDescent="0.3">
      <c r="A18" s="8" t="s">
        <v>276</v>
      </c>
      <c r="B18" s="8" t="s">
        <v>277</v>
      </c>
      <c r="C18" s="8" t="s">
        <v>278</v>
      </c>
      <c r="D18" s="8">
        <v>44</v>
      </c>
      <c r="E18" s="8" t="s">
        <v>279</v>
      </c>
    </row>
    <row r="19" spans="1:5" ht="11.25" customHeight="1" x14ac:dyDescent="0.3">
      <c r="A19" s="8" t="s">
        <v>276</v>
      </c>
      <c r="B19" s="8" t="s">
        <v>277</v>
      </c>
      <c r="C19" s="8" t="s">
        <v>278</v>
      </c>
      <c r="D19" s="8">
        <v>45</v>
      </c>
      <c r="E19" s="8" t="s">
        <v>279</v>
      </c>
    </row>
    <row r="20" spans="1:5" ht="11.25" customHeight="1" x14ac:dyDescent="0.3">
      <c r="A20" s="8" t="s">
        <v>276</v>
      </c>
      <c r="B20" s="8" t="s">
        <v>277</v>
      </c>
      <c r="C20" s="8" t="s">
        <v>278</v>
      </c>
      <c r="D20" s="8">
        <v>46</v>
      </c>
      <c r="E20" s="8" t="s">
        <v>279</v>
      </c>
    </row>
    <row r="21" spans="1:5" ht="11.25" customHeight="1" x14ac:dyDescent="0.3">
      <c r="A21" s="8" t="s">
        <v>276</v>
      </c>
      <c r="B21" s="8" t="s">
        <v>277</v>
      </c>
      <c r="C21" s="8" t="s">
        <v>278</v>
      </c>
      <c r="D21" s="8">
        <v>47</v>
      </c>
      <c r="E21" s="8" t="s">
        <v>279</v>
      </c>
    </row>
    <row r="22" spans="1:5" ht="11.25" customHeight="1" x14ac:dyDescent="0.3">
      <c r="A22" s="8" t="s">
        <v>276</v>
      </c>
      <c r="B22" s="8" t="s">
        <v>277</v>
      </c>
      <c r="C22" s="8" t="s">
        <v>278</v>
      </c>
      <c r="D22" s="8">
        <v>48</v>
      </c>
      <c r="E22" s="8" t="s">
        <v>279</v>
      </c>
    </row>
    <row r="23" spans="1:5" ht="11.25" customHeight="1" x14ac:dyDescent="0.3">
      <c r="A23" s="8" t="s">
        <v>276</v>
      </c>
      <c r="B23" s="8" t="s">
        <v>277</v>
      </c>
      <c r="C23" s="8" t="s">
        <v>278</v>
      </c>
      <c r="D23" s="8">
        <v>49</v>
      </c>
      <c r="E23" s="8" t="s">
        <v>279</v>
      </c>
    </row>
    <row r="24" spans="1:5" ht="11.25" customHeight="1" x14ac:dyDescent="0.3">
      <c r="A24" s="8" t="s">
        <v>276</v>
      </c>
      <c r="B24" s="8" t="s">
        <v>277</v>
      </c>
      <c r="C24" s="8" t="s">
        <v>278</v>
      </c>
      <c r="D24" s="8">
        <v>74</v>
      </c>
      <c r="E24" s="8" t="s">
        <v>279</v>
      </c>
    </row>
    <row r="25" spans="1:5" ht="11.25" customHeight="1" x14ac:dyDescent="0.3">
      <c r="A25" s="8" t="s">
        <v>276</v>
      </c>
      <c r="B25" s="8" t="s">
        <v>277</v>
      </c>
      <c r="C25" s="8" t="s">
        <v>278</v>
      </c>
      <c r="D25" s="8">
        <v>75</v>
      </c>
      <c r="E25" s="8" t="s">
        <v>279</v>
      </c>
    </row>
    <row r="26" spans="1:5" ht="11.25" customHeight="1" x14ac:dyDescent="0.3">
      <c r="A26" s="8" t="s">
        <v>276</v>
      </c>
      <c r="B26" s="8" t="s">
        <v>277</v>
      </c>
      <c r="C26" s="8" t="s">
        <v>278</v>
      </c>
      <c r="D26" s="8">
        <v>88</v>
      </c>
      <c r="E26" s="8" t="s">
        <v>279</v>
      </c>
    </row>
    <row r="27" spans="1:5" ht="11.25" customHeight="1" x14ac:dyDescent="0.3">
      <c r="A27" s="8" t="s">
        <v>276</v>
      </c>
      <c r="B27" s="8" t="s">
        <v>277</v>
      </c>
      <c r="C27" s="8" t="s">
        <v>278</v>
      </c>
      <c r="D27" s="8">
        <v>89</v>
      </c>
      <c r="E27" s="8" t="s">
        <v>279</v>
      </c>
    </row>
    <row r="28" spans="1:5" ht="11.25" customHeight="1" x14ac:dyDescent="0.3">
      <c r="A28" s="8" t="s">
        <v>276</v>
      </c>
      <c r="B28" s="8" t="s">
        <v>277</v>
      </c>
      <c r="C28" s="8" t="s">
        <v>278</v>
      </c>
      <c r="D28" s="8">
        <v>90</v>
      </c>
      <c r="E28" s="8" t="s">
        <v>279</v>
      </c>
    </row>
    <row r="29" spans="1:5" ht="11.25" customHeight="1" x14ac:dyDescent="0.3">
      <c r="A29" s="8" t="s">
        <v>276</v>
      </c>
      <c r="B29" s="8" t="s">
        <v>277</v>
      </c>
      <c r="C29" s="8" t="s">
        <v>278</v>
      </c>
      <c r="D29" s="8">
        <v>91</v>
      </c>
      <c r="E29" s="8" t="s">
        <v>279</v>
      </c>
    </row>
    <row r="30" spans="1:5" ht="11.25" customHeight="1" x14ac:dyDescent="0.3">
      <c r="A30" s="8" t="s">
        <v>276</v>
      </c>
      <c r="B30" s="8" t="s">
        <v>277</v>
      </c>
      <c r="C30" s="8" t="s">
        <v>278</v>
      </c>
      <c r="D30" s="8">
        <v>92</v>
      </c>
      <c r="E30" s="8" t="s">
        <v>279</v>
      </c>
    </row>
    <row r="31" spans="1:5" ht="11.25" customHeight="1" x14ac:dyDescent="0.3">
      <c r="A31" s="8" t="s">
        <v>276</v>
      </c>
      <c r="B31" s="8" t="s">
        <v>277</v>
      </c>
      <c r="C31" s="8" t="s">
        <v>278</v>
      </c>
      <c r="D31" s="8">
        <v>93</v>
      </c>
      <c r="E31" s="8" t="s">
        <v>279</v>
      </c>
    </row>
    <row r="32" spans="1:5" ht="11.25" customHeight="1" x14ac:dyDescent="0.3">
      <c r="A32" s="8" t="s">
        <v>276</v>
      </c>
      <c r="B32" s="8" t="s">
        <v>277</v>
      </c>
      <c r="C32" s="8" t="s">
        <v>278</v>
      </c>
      <c r="D32" s="8">
        <v>94</v>
      </c>
      <c r="E32" s="8" t="s">
        <v>279</v>
      </c>
    </row>
    <row r="33" spans="1:5" ht="11.25" customHeight="1" x14ac:dyDescent="0.3">
      <c r="A33" s="8" t="s">
        <v>276</v>
      </c>
      <c r="B33" s="8" t="s">
        <v>277</v>
      </c>
      <c r="C33" s="8" t="s">
        <v>278</v>
      </c>
      <c r="D33" s="8">
        <v>95</v>
      </c>
      <c r="E33" s="8" t="s">
        <v>279</v>
      </c>
    </row>
    <row r="34" spans="1:5" ht="11.25" customHeight="1" x14ac:dyDescent="0.3">
      <c r="A34" s="8" t="s">
        <v>276</v>
      </c>
      <c r="B34" s="8" t="s">
        <v>277</v>
      </c>
      <c r="C34" s="8" t="s">
        <v>278</v>
      </c>
      <c r="D34" s="8">
        <v>96</v>
      </c>
      <c r="E34" s="8" t="s">
        <v>279</v>
      </c>
    </row>
    <row r="35" spans="1:5" ht="11.25" customHeight="1" x14ac:dyDescent="0.3">
      <c r="A35" s="8" t="s">
        <v>276</v>
      </c>
      <c r="B35" s="8" t="s">
        <v>277</v>
      </c>
      <c r="C35" s="8" t="s">
        <v>278</v>
      </c>
      <c r="D35" s="8">
        <v>97</v>
      </c>
      <c r="E35" s="8" t="s">
        <v>279</v>
      </c>
    </row>
    <row r="36" spans="1:5" ht="11.25" customHeight="1" x14ac:dyDescent="0.3">
      <c r="A36" s="8" t="s">
        <v>276</v>
      </c>
      <c r="C36" s="8" t="s">
        <v>511</v>
      </c>
      <c r="D36" s="8">
        <v>40</v>
      </c>
      <c r="E36" s="8" t="s">
        <v>9</v>
      </c>
    </row>
    <row r="37" spans="1:5" ht="11.25" customHeight="1" x14ac:dyDescent="0.3">
      <c r="A37" s="8" t="s">
        <v>276</v>
      </c>
      <c r="C37" s="8" t="s">
        <v>511</v>
      </c>
      <c r="D37" s="8">
        <v>40</v>
      </c>
      <c r="E37" s="8" t="s">
        <v>9</v>
      </c>
    </row>
    <row r="38" spans="1:5" ht="11.25" customHeight="1" x14ac:dyDescent="0.3">
      <c r="A38" s="8" t="s">
        <v>276</v>
      </c>
      <c r="C38" s="8" t="s">
        <v>511</v>
      </c>
      <c r="D38" s="8">
        <v>40</v>
      </c>
      <c r="E38" s="8" t="s">
        <v>9</v>
      </c>
    </row>
    <row r="39" spans="1:5" ht="11.25" customHeight="1" x14ac:dyDescent="0.3">
      <c r="A39" s="8" t="s">
        <v>276</v>
      </c>
      <c r="C39" s="8" t="s">
        <v>511</v>
      </c>
      <c r="D39" s="8">
        <v>40</v>
      </c>
      <c r="E39" s="8" t="s">
        <v>9</v>
      </c>
    </row>
    <row r="40" spans="1:5" ht="11.25" customHeight="1" x14ac:dyDescent="0.3">
      <c r="A40" s="8" t="s">
        <v>276</v>
      </c>
      <c r="C40" s="8" t="s">
        <v>511</v>
      </c>
      <c r="D40" s="8">
        <v>40</v>
      </c>
      <c r="E40" s="8" t="s">
        <v>9</v>
      </c>
    </row>
    <row r="41" spans="1:5" ht="11.25" customHeight="1" x14ac:dyDescent="0.3">
      <c r="A41" s="8" t="s">
        <v>276</v>
      </c>
      <c r="C41" s="8" t="s">
        <v>511</v>
      </c>
      <c r="D41" s="8">
        <v>40</v>
      </c>
      <c r="E41" s="8" t="s">
        <v>9</v>
      </c>
    </row>
    <row r="42" spans="1:5" ht="11.25" customHeight="1" x14ac:dyDescent="0.3">
      <c r="A42" s="8" t="s">
        <v>276</v>
      </c>
      <c r="C42" s="8" t="s">
        <v>511</v>
      </c>
      <c r="D42" s="8">
        <v>40</v>
      </c>
      <c r="E42" s="8" t="s">
        <v>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48133-D7EF-42E6-AB0D-01FA844C3EC2}">
  <sheetPr codeName="Planilha2"/>
  <dimension ref="A1:AX85"/>
  <sheetViews>
    <sheetView showGridLines="0" workbookViewId="0"/>
  </sheetViews>
  <sheetFormatPr defaultColWidth="9.109375" defaultRowHeight="10.199999999999999" x14ac:dyDescent="0.3"/>
  <cols>
    <col min="1" max="1" width="4.6640625" style="8" bestFit="1" customWidth="1"/>
    <col min="2" max="2" width="8.88671875" style="8" bestFit="1" customWidth="1"/>
    <col min="3" max="3" width="8.6640625" style="8" bestFit="1" customWidth="1"/>
    <col min="4" max="4" width="27.109375" style="8" bestFit="1" customWidth="1"/>
    <col min="5" max="5" width="13.5546875" style="8" bestFit="1" customWidth="1"/>
    <col min="6" max="6" width="25.109375" style="8" bestFit="1" customWidth="1"/>
    <col min="7" max="9" width="10.33203125" style="8" bestFit="1" customWidth="1"/>
    <col min="10" max="10" width="6.88671875" style="8" bestFit="1" customWidth="1"/>
    <col min="11" max="11" width="4.5546875" style="8" bestFit="1" customWidth="1"/>
    <col min="12" max="12" width="4.44140625" style="8" bestFit="1" customWidth="1"/>
    <col min="13" max="13" width="6.6640625" style="8" bestFit="1" customWidth="1"/>
    <col min="14" max="14" width="6.33203125" style="8" bestFit="1" customWidth="1"/>
    <col min="15" max="15" width="11.109375" style="8" bestFit="1" customWidth="1"/>
    <col min="16" max="16" width="10.44140625" style="8" bestFit="1" customWidth="1"/>
    <col min="17" max="16384" width="9.109375" style="8"/>
  </cols>
  <sheetData>
    <row r="1" spans="1:50" ht="11.25" customHeight="1" x14ac:dyDescent="0.3">
      <c r="A1" s="30" t="s">
        <v>571</v>
      </c>
      <c r="B1" s="30" t="s">
        <v>562</v>
      </c>
      <c r="C1" s="30" t="s">
        <v>1</v>
      </c>
      <c r="D1" s="30" t="s">
        <v>2</v>
      </c>
      <c r="E1" s="30" t="s">
        <v>3</v>
      </c>
      <c r="F1" s="30" t="s">
        <v>4</v>
      </c>
      <c r="G1" s="30" t="s">
        <v>5</v>
      </c>
      <c r="H1" s="30" t="s">
        <v>6</v>
      </c>
      <c r="I1" s="30" t="s">
        <v>7</v>
      </c>
      <c r="J1" s="30" t="s">
        <v>563</v>
      </c>
      <c r="K1" s="30" t="s">
        <v>564</v>
      </c>
      <c r="L1" s="30" t="s">
        <v>565</v>
      </c>
      <c r="M1" s="30" t="s">
        <v>566</v>
      </c>
      <c r="N1" s="30" t="s">
        <v>567</v>
      </c>
      <c r="O1" s="30" t="s">
        <v>443</v>
      </c>
      <c r="P1" s="30" t="s">
        <v>429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</row>
    <row r="2" spans="1:50" ht="11.25" customHeight="1" x14ac:dyDescent="0.3">
      <c r="A2" s="31">
        <v>1</v>
      </c>
      <c r="B2" s="31" t="s">
        <v>423</v>
      </c>
      <c r="C2" s="31" t="s">
        <v>35</v>
      </c>
      <c r="D2" s="31" t="s">
        <v>50</v>
      </c>
      <c r="E2" s="31" t="s">
        <v>25</v>
      </c>
      <c r="F2" s="31" t="s">
        <v>25</v>
      </c>
      <c r="G2" s="31" t="s">
        <v>25</v>
      </c>
      <c r="H2" s="31" t="s">
        <v>25</v>
      </c>
      <c r="I2" s="31" t="s">
        <v>25</v>
      </c>
      <c r="J2" s="31" t="s">
        <v>568</v>
      </c>
      <c r="K2" s="31" t="s">
        <v>569</v>
      </c>
      <c r="L2" s="31" t="s">
        <v>69</v>
      </c>
      <c r="M2" s="31">
        <v>2021</v>
      </c>
      <c r="N2" s="31">
        <v>0</v>
      </c>
      <c r="O2" s="31">
        <v>66.040000000000006</v>
      </c>
      <c r="P2" s="31">
        <v>47.755800238424001</v>
      </c>
    </row>
    <row r="3" spans="1:50" ht="11.25" customHeight="1" x14ac:dyDescent="0.3">
      <c r="A3" s="31">
        <v>2</v>
      </c>
      <c r="B3" s="31" t="s">
        <v>423</v>
      </c>
      <c r="C3" s="31" t="s">
        <v>22</v>
      </c>
      <c r="D3" s="31" t="s">
        <v>23</v>
      </c>
      <c r="E3" s="31" t="s">
        <v>24</v>
      </c>
      <c r="F3" s="31" t="s">
        <v>29</v>
      </c>
      <c r="G3" s="31" t="s">
        <v>25</v>
      </c>
      <c r="H3" s="31" t="s">
        <v>25</v>
      </c>
      <c r="I3" s="31" t="s">
        <v>25</v>
      </c>
      <c r="J3" s="31" t="s">
        <v>568</v>
      </c>
      <c r="K3" s="31" t="s">
        <v>569</v>
      </c>
      <c r="L3" s="31" t="s">
        <v>69</v>
      </c>
      <c r="M3" s="31">
        <v>2021</v>
      </c>
      <c r="N3" s="31">
        <v>0</v>
      </c>
      <c r="O3" s="31">
        <v>190.95</v>
      </c>
      <c r="P3" s="31">
        <v>0</v>
      </c>
    </row>
    <row r="4" spans="1:50" ht="11.25" customHeight="1" x14ac:dyDescent="0.3">
      <c r="A4" s="31">
        <v>3</v>
      </c>
      <c r="B4" s="31" t="s">
        <v>423</v>
      </c>
      <c r="C4" s="31" t="s">
        <v>35</v>
      </c>
      <c r="D4" s="31" t="s">
        <v>77</v>
      </c>
      <c r="E4" s="31" t="s">
        <v>25</v>
      </c>
      <c r="F4" s="31" t="s">
        <v>25</v>
      </c>
      <c r="G4" s="31" t="s">
        <v>25</v>
      </c>
      <c r="H4" s="31" t="s">
        <v>25</v>
      </c>
      <c r="I4" s="31" t="s">
        <v>25</v>
      </c>
      <c r="J4" s="31" t="s">
        <v>570</v>
      </c>
      <c r="K4" s="31" t="s">
        <v>569</v>
      </c>
      <c r="L4" s="31" t="s">
        <v>72</v>
      </c>
      <c r="M4" s="31">
        <v>2021</v>
      </c>
      <c r="N4" s="31">
        <v>0</v>
      </c>
      <c r="O4" s="31">
        <v>13.03</v>
      </c>
      <c r="P4" s="31">
        <v>0</v>
      </c>
    </row>
    <row r="5" spans="1:50" ht="11.25" customHeight="1" x14ac:dyDescent="0.3">
      <c r="A5" s="31">
        <v>4</v>
      </c>
      <c r="B5" s="31" t="s">
        <v>423</v>
      </c>
      <c r="C5" s="31" t="s">
        <v>22</v>
      </c>
      <c r="D5" s="31" t="s">
        <v>23</v>
      </c>
      <c r="E5" s="31" t="s">
        <v>24</v>
      </c>
      <c r="F5" s="31" t="s">
        <v>30</v>
      </c>
      <c r="G5" s="31" t="s">
        <v>25</v>
      </c>
      <c r="H5" s="31" t="s">
        <v>25</v>
      </c>
      <c r="I5" s="31" t="s">
        <v>25</v>
      </c>
      <c r="J5" s="31" t="s">
        <v>568</v>
      </c>
      <c r="K5" s="31" t="s">
        <v>569</v>
      </c>
      <c r="L5" s="31" t="s">
        <v>69</v>
      </c>
      <c r="M5" s="31">
        <v>2021</v>
      </c>
      <c r="N5" s="31">
        <v>0</v>
      </c>
      <c r="O5" s="31">
        <v>327.33999999999997</v>
      </c>
      <c r="P5" s="31">
        <v>0</v>
      </c>
    </row>
    <row r="6" spans="1:50" ht="11.25" customHeight="1" x14ac:dyDescent="0.3">
      <c r="A6" s="31">
        <v>5</v>
      </c>
      <c r="B6" s="31" t="s">
        <v>423</v>
      </c>
      <c r="C6" s="31" t="s">
        <v>35</v>
      </c>
      <c r="D6" s="31" t="s">
        <v>36</v>
      </c>
      <c r="E6" s="31" t="s">
        <v>25</v>
      </c>
      <c r="F6" s="31" t="s">
        <v>25</v>
      </c>
      <c r="G6" s="31" t="s">
        <v>76</v>
      </c>
      <c r="H6" s="31" t="s">
        <v>25</v>
      </c>
      <c r="I6" s="31" t="s">
        <v>37</v>
      </c>
      <c r="J6" s="31" t="s">
        <v>568</v>
      </c>
      <c r="K6" s="31" t="s">
        <v>569</v>
      </c>
      <c r="L6" s="31" t="s">
        <v>69</v>
      </c>
      <c r="M6" s="31">
        <v>2021</v>
      </c>
      <c r="N6" s="31">
        <v>0</v>
      </c>
      <c r="O6" s="31">
        <v>2803.48</v>
      </c>
      <c r="P6" s="31">
        <v>0</v>
      </c>
    </row>
    <row r="7" spans="1:50" ht="11.25" customHeight="1" x14ac:dyDescent="0.3">
      <c r="A7" s="31">
        <v>6</v>
      </c>
      <c r="B7" s="31" t="s">
        <v>423</v>
      </c>
      <c r="C7" s="31" t="s">
        <v>22</v>
      </c>
      <c r="D7" s="31" t="s">
        <v>84</v>
      </c>
      <c r="E7" s="31" t="s">
        <v>24</v>
      </c>
      <c r="F7" s="31" t="s">
        <v>29</v>
      </c>
      <c r="G7" s="31" t="s">
        <v>25</v>
      </c>
      <c r="H7" s="31" t="s">
        <v>25</v>
      </c>
      <c r="I7" s="31" t="s">
        <v>25</v>
      </c>
      <c r="J7" s="31" t="s">
        <v>568</v>
      </c>
      <c r="K7" s="31" t="s">
        <v>569</v>
      </c>
      <c r="L7" s="31" t="s">
        <v>69</v>
      </c>
      <c r="M7" s="31">
        <v>2021</v>
      </c>
      <c r="N7" s="31">
        <v>0</v>
      </c>
      <c r="O7" s="31">
        <v>190.95</v>
      </c>
      <c r="P7" s="31">
        <v>0</v>
      </c>
    </row>
    <row r="8" spans="1:50" ht="11.25" customHeight="1" x14ac:dyDescent="0.3">
      <c r="A8" s="31">
        <v>7</v>
      </c>
      <c r="B8" s="31" t="s">
        <v>423</v>
      </c>
      <c r="C8" s="31" t="s">
        <v>22</v>
      </c>
      <c r="D8" s="31" t="s">
        <v>23</v>
      </c>
      <c r="E8" s="31" t="s">
        <v>24</v>
      </c>
      <c r="F8" s="31" t="s">
        <v>31</v>
      </c>
      <c r="G8" s="31" t="s">
        <v>25</v>
      </c>
      <c r="H8" s="31" t="s">
        <v>25</v>
      </c>
      <c r="I8" s="31" t="s">
        <v>25</v>
      </c>
      <c r="J8" s="31" t="s">
        <v>568</v>
      </c>
      <c r="K8" s="31" t="s">
        <v>569</v>
      </c>
      <c r="L8" s="31" t="s">
        <v>69</v>
      </c>
      <c r="M8" s="31">
        <v>2021</v>
      </c>
      <c r="N8" s="31">
        <v>0</v>
      </c>
      <c r="O8" s="31">
        <v>491.01</v>
      </c>
      <c r="P8" s="31">
        <v>0</v>
      </c>
    </row>
    <row r="9" spans="1:50" ht="11.25" customHeight="1" x14ac:dyDescent="0.3">
      <c r="A9" s="31">
        <v>8</v>
      </c>
      <c r="B9" s="31" t="s">
        <v>423</v>
      </c>
      <c r="C9" s="31" t="s">
        <v>78</v>
      </c>
      <c r="D9" s="31" t="s">
        <v>77</v>
      </c>
      <c r="E9" s="31" t="s">
        <v>25</v>
      </c>
      <c r="F9" s="31" t="s">
        <v>25</v>
      </c>
      <c r="G9" s="31" t="s">
        <v>80</v>
      </c>
      <c r="H9" s="31" t="s">
        <v>25</v>
      </c>
      <c r="I9" s="31" t="s">
        <v>25</v>
      </c>
      <c r="J9" s="31" t="s">
        <v>570</v>
      </c>
      <c r="K9" s="31" t="s">
        <v>569</v>
      </c>
      <c r="L9" s="31" t="s">
        <v>72</v>
      </c>
      <c r="M9" s="31">
        <v>2021</v>
      </c>
      <c r="N9" s="31">
        <v>0</v>
      </c>
      <c r="O9" s="31">
        <v>22.27</v>
      </c>
      <c r="P9" s="31">
        <v>0</v>
      </c>
    </row>
    <row r="10" spans="1:50" ht="11.25" customHeight="1" x14ac:dyDescent="0.3">
      <c r="A10" s="31">
        <v>9</v>
      </c>
      <c r="B10" s="31" t="s">
        <v>423</v>
      </c>
      <c r="C10" s="31" t="s">
        <v>22</v>
      </c>
      <c r="D10" s="31" t="s">
        <v>84</v>
      </c>
      <c r="E10" s="31" t="s">
        <v>24</v>
      </c>
      <c r="F10" s="31" t="s">
        <v>32</v>
      </c>
      <c r="G10" s="31" t="s">
        <v>25</v>
      </c>
      <c r="H10" s="31" t="s">
        <v>25</v>
      </c>
      <c r="I10" s="31" t="s">
        <v>25</v>
      </c>
      <c r="J10" s="31" t="s">
        <v>568</v>
      </c>
      <c r="K10" s="31" t="s">
        <v>569</v>
      </c>
      <c r="L10" s="31" t="s">
        <v>69</v>
      </c>
      <c r="M10" s="31">
        <v>2021</v>
      </c>
      <c r="N10" s="31">
        <v>0</v>
      </c>
      <c r="O10" s="31">
        <v>545.55999999999995</v>
      </c>
      <c r="P10" s="31">
        <v>0</v>
      </c>
    </row>
    <row r="11" spans="1:50" ht="11.25" customHeight="1" x14ac:dyDescent="0.3">
      <c r="A11" s="31">
        <v>10</v>
      </c>
      <c r="B11" s="31" t="s">
        <v>423</v>
      </c>
      <c r="C11" s="31" t="s">
        <v>35</v>
      </c>
      <c r="D11" s="31" t="s">
        <v>36</v>
      </c>
      <c r="E11" s="31" t="s">
        <v>25</v>
      </c>
      <c r="F11" s="31" t="s">
        <v>25</v>
      </c>
      <c r="G11" s="31" t="s">
        <v>25</v>
      </c>
      <c r="H11" s="31" t="s">
        <v>25</v>
      </c>
      <c r="I11" s="31" t="s">
        <v>38</v>
      </c>
      <c r="J11" s="31" t="s">
        <v>568</v>
      </c>
      <c r="K11" s="31" t="s">
        <v>569</v>
      </c>
      <c r="L11" s="31" t="s">
        <v>69</v>
      </c>
      <c r="M11" s="31">
        <v>2021</v>
      </c>
      <c r="N11" s="31">
        <v>0</v>
      </c>
      <c r="O11" s="31">
        <v>66.040000000000006</v>
      </c>
      <c r="P11" s="31">
        <v>47.755800238424001</v>
      </c>
    </row>
    <row r="12" spans="1:50" ht="11.25" customHeight="1" x14ac:dyDescent="0.3">
      <c r="A12" s="31">
        <v>11</v>
      </c>
      <c r="B12" s="31" t="s">
        <v>423</v>
      </c>
      <c r="C12" s="31" t="s">
        <v>22</v>
      </c>
      <c r="D12" s="31" t="s">
        <v>84</v>
      </c>
      <c r="E12" s="31" t="s">
        <v>24</v>
      </c>
      <c r="F12" s="31" t="s">
        <v>24</v>
      </c>
      <c r="G12" s="31" t="s">
        <v>25</v>
      </c>
      <c r="H12" s="31" t="s">
        <v>25</v>
      </c>
      <c r="I12" s="31" t="s">
        <v>25</v>
      </c>
      <c r="J12" s="31" t="s">
        <v>568</v>
      </c>
      <c r="K12" s="31" t="s">
        <v>569</v>
      </c>
      <c r="L12" s="31" t="s">
        <v>69</v>
      </c>
      <c r="M12" s="31">
        <v>2021</v>
      </c>
      <c r="N12" s="31">
        <v>0</v>
      </c>
      <c r="O12" s="31">
        <v>609.05999999999995</v>
      </c>
      <c r="P12" s="31">
        <v>54.891724411981599</v>
      </c>
    </row>
    <row r="13" spans="1:50" ht="11.25" customHeight="1" x14ac:dyDescent="0.3">
      <c r="A13" s="31">
        <v>12</v>
      </c>
      <c r="B13" s="31" t="s">
        <v>423</v>
      </c>
      <c r="C13" s="31" t="s">
        <v>35</v>
      </c>
      <c r="D13" s="31" t="s">
        <v>50</v>
      </c>
      <c r="E13" s="31" t="s">
        <v>25</v>
      </c>
      <c r="F13" s="31" t="s">
        <v>25</v>
      </c>
      <c r="G13" s="31" t="s">
        <v>76</v>
      </c>
      <c r="H13" s="31" t="s">
        <v>25</v>
      </c>
      <c r="I13" s="31" t="s">
        <v>25</v>
      </c>
      <c r="J13" s="31" t="s">
        <v>568</v>
      </c>
      <c r="K13" s="31" t="s">
        <v>569</v>
      </c>
      <c r="L13" s="31" t="s">
        <v>69</v>
      </c>
      <c r="M13" s="31">
        <v>2021</v>
      </c>
      <c r="N13" s="31">
        <v>0</v>
      </c>
      <c r="O13" s="31">
        <v>9.68</v>
      </c>
      <c r="P13" s="31">
        <v>0</v>
      </c>
    </row>
    <row r="14" spans="1:50" ht="11.25" customHeight="1" x14ac:dyDescent="0.3">
      <c r="A14" s="31">
        <v>13</v>
      </c>
      <c r="B14" s="31" t="s">
        <v>423</v>
      </c>
      <c r="C14" s="31" t="s">
        <v>22</v>
      </c>
      <c r="D14" s="31" t="s">
        <v>39</v>
      </c>
      <c r="E14" s="31" t="s">
        <v>24</v>
      </c>
      <c r="F14" s="31" t="s">
        <v>24</v>
      </c>
      <c r="G14" s="31" t="s">
        <v>25</v>
      </c>
      <c r="H14" s="31" t="s">
        <v>25</v>
      </c>
      <c r="I14" s="31" t="s">
        <v>37</v>
      </c>
      <c r="J14" s="31" t="s">
        <v>568</v>
      </c>
      <c r="K14" s="31" t="s">
        <v>569</v>
      </c>
      <c r="L14" s="31" t="s">
        <v>69</v>
      </c>
      <c r="M14" s="31">
        <v>2021</v>
      </c>
      <c r="N14" s="31">
        <v>0</v>
      </c>
      <c r="O14" s="31">
        <v>1502.87</v>
      </c>
      <c r="P14" s="31">
        <v>54.891724411981599</v>
      </c>
    </row>
    <row r="15" spans="1:50" ht="11.25" customHeight="1" x14ac:dyDescent="0.3">
      <c r="A15" s="31">
        <v>14</v>
      </c>
      <c r="B15" s="31" t="s">
        <v>423</v>
      </c>
      <c r="C15" s="31" t="s">
        <v>42</v>
      </c>
      <c r="D15" s="31" t="s">
        <v>39</v>
      </c>
      <c r="E15" s="31" t="s">
        <v>43</v>
      </c>
      <c r="F15" s="31" t="s">
        <v>25</v>
      </c>
      <c r="G15" s="31" t="s">
        <v>25</v>
      </c>
      <c r="H15" s="31" t="s">
        <v>25</v>
      </c>
      <c r="I15" s="31" t="s">
        <v>37</v>
      </c>
      <c r="J15" s="31" t="s">
        <v>568</v>
      </c>
      <c r="K15" s="31" t="s">
        <v>569</v>
      </c>
      <c r="L15" s="31" t="s">
        <v>69</v>
      </c>
      <c r="M15" s="31">
        <v>2021</v>
      </c>
      <c r="N15" s="31">
        <v>0</v>
      </c>
      <c r="O15" s="31">
        <v>1438.22</v>
      </c>
      <c r="P15" s="31">
        <v>48.304717482543801</v>
      </c>
    </row>
    <row r="16" spans="1:50" ht="11.25" customHeight="1" x14ac:dyDescent="0.3">
      <c r="A16" s="31">
        <v>15</v>
      </c>
      <c r="B16" s="31" t="s">
        <v>423</v>
      </c>
      <c r="C16" s="31" t="s">
        <v>22</v>
      </c>
      <c r="D16" s="31" t="s">
        <v>23</v>
      </c>
      <c r="E16" s="31" t="s">
        <v>24</v>
      </c>
      <c r="F16" s="31" t="s">
        <v>24</v>
      </c>
      <c r="G16" s="31" t="s">
        <v>25</v>
      </c>
      <c r="H16" s="31" t="s">
        <v>25</v>
      </c>
      <c r="I16" s="31" t="s">
        <v>25</v>
      </c>
      <c r="J16" s="31" t="s">
        <v>568</v>
      </c>
      <c r="K16" s="31" t="s">
        <v>569</v>
      </c>
      <c r="L16" s="31" t="s">
        <v>69</v>
      </c>
      <c r="M16" s="31">
        <v>2021</v>
      </c>
      <c r="N16" s="31">
        <v>0</v>
      </c>
      <c r="O16" s="31">
        <v>609.05999999999995</v>
      </c>
      <c r="P16" s="31">
        <v>54.891724411981599</v>
      </c>
    </row>
    <row r="17" spans="1:16" ht="11.25" customHeight="1" x14ac:dyDescent="0.3">
      <c r="A17" s="31">
        <v>16</v>
      </c>
      <c r="B17" s="31" t="s">
        <v>423</v>
      </c>
      <c r="C17" s="31" t="s">
        <v>22</v>
      </c>
      <c r="D17" s="31" t="s">
        <v>39</v>
      </c>
      <c r="E17" s="31" t="s">
        <v>24</v>
      </c>
      <c r="F17" s="31" t="s">
        <v>24</v>
      </c>
      <c r="G17" s="31" t="s">
        <v>25</v>
      </c>
      <c r="H17" s="31" t="s">
        <v>25</v>
      </c>
      <c r="I17" s="31" t="s">
        <v>40</v>
      </c>
      <c r="J17" s="31" t="s">
        <v>568</v>
      </c>
      <c r="K17" s="31" t="s">
        <v>569</v>
      </c>
      <c r="L17" s="31" t="s">
        <v>69</v>
      </c>
      <c r="M17" s="31">
        <v>2021</v>
      </c>
      <c r="N17" s="31">
        <v>0</v>
      </c>
      <c r="O17" s="31">
        <v>935.03</v>
      </c>
      <c r="P17" s="31">
        <v>54.891724411981599</v>
      </c>
    </row>
    <row r="18" spans="1:16" ht="11.25" customHeight="1" x14ac:dyDescent="0.3">
      <c r="A18" s="31">
        <v>17</v>
      </c>
      <c r="B18" s="31" t="s">
        <v>423</v>
      </c>
      <c r="C18" s="31" t="s">
        <v>42</v>
      </c>
      <c r="D18" s="31" t="s">
        <v>39</v>
      </c>
      <c r="E18" s="31" t="s">
        <v>43</v>
      </c>
      <c r="F18" s="31" t="s">
        <v>25</v>
      </c>
      <c r="G18" s="31" t="s">
        <v>25</v>
      </c>
      <c r="H18" s="31" t="s">
        <v>25</v>
      </c>
      <c r="I18" s="31" t="s">
        <v>40</v>
      </c>
      <c r="J18" s="31" t="s">
        <v>568</v>
      </c>
      <c r="K18" s="31" t="s">
        <v>569</v>
      </c>
      <c r="L18" s="31" t="s">
        <v>69</v>
      </c>
      <c r="M18" s="31">
        <v>2021</v>
      </c>
      <c r="N18" s="31">
        <v>0</v>
      </c>
      <c r="O18" s="31">
        <v>892.19</v>
      </c>
      <c r="P18" s="31">
        <v>48.304717482543801</v>
      </c>
    </row>
    <row r="19" spans="1:16" ht="11.25" customHeight="1" x14ac:dyDescent="0.3">
      <c r="A19" s="31">
        <v>18</v>
      </c>
      <c r="B19" s="31" t="s">
        <v>423</v>
      </c>
      <c r="C19" s="31" t="s">
        <v>35</v>
      </c>
      <c r="D19" s="31" t="s">
        <v>36</v>
      </c>
      <c r="E19" s="31" t="s">
        <v>25</v>
      </c>
      <c r="F19" s="31" t="s">
        <v>25</v>
      </c>
      <c r="G19" s="31" t="s">
        <v>76</v>
      </c>
      <c r="H19" s="31" t="s">
        <v>25</v>
      </c>
      <c r="I19" s="31" t="s">
        <v>38</v>
      </c>
      <c r="J19" s="31" t="s">
        <v>568</v>
      </c>
      <c r="K19" s="31" t="s">
        <v>569</v>
      </c>
      <c r="L19" s="31" t="s">
        <v>69</v>
      </c>
      <c r="M19" s="31">
        <v>2021</v>
      </c>
      <c r="N19" s="31">
        <v>0</v>
      </c>
      <c r="O19" s="31">
        <v>9.68</v>
      </c>
      <c r="P19" s="31">
        <v>0</v>
      </c>
    </row>
    <row r="20" spans="1:16" ht="11.25" customHeight="1" x14ac:dyDescent="0.3">
      <c r="A20" s="31">
        <v>19</v>
      </c>
      <c r="B20" s="31" t="s">
        <v>423</v>
      </c>
      <c r="C20" s="31" t="s">
        <v>22</v>
      </c>
      <c r="D20" s="31" t="s">
        <v>84</v>
      </c>
      <c r="E20" s="31" t="s">
        <v>24</v>
      </c>
      <c r="F20" s="31" t="s">
        <v>30</v>
      </c>
      <c r="G20" s="31" t="s">
        <v>25</v>
      </c>
      <c r="H20" s="31" t="s">
        <v>25</v>
      </c>
      <c r="I20" s="31" t="s">
        <v>25</v>
      </c>
      <c r="J20" s="31" t="s">
        <v>568</v>
      </c>
      <c r="K20" s="31" t="s">
        <v>569</v>
      </c>
      <c r="L20" s="31" t="s">
        <v>69</v>
      </c>
      <c r="M20" s="31">
        <v>2021</v>
      </c>
      <c r="N20" s="31">
        <v>0</v>
      </c>
      <c r="O20" s="31">
        <v>327.33999999999997</v>
      </c>
      <c r="P20" s="31">
        <v>0</v>
      </c>
    </row>
    <row r="21" spans="1:16" ht="11.25" customHeight="1" x14ac:dyDescent="0.3">
      <c r="A21" s="31">
        <v>20</v>
      </c>
      <c r="B21" s="31" t="s">
        <v>423</v>
      </c>
      <c r="C21" s="31" t="s">
        <v>42</v>
      </c>
      <c r="D21" s="31" t="s">
        <v>39</v>
      </c>
      <c r="E21" s="31" t="s">
        <v>43</v>
      </c>
      <c r="F21" s="31" t="s">
        <v>25</v>
      </c>
      <c r="G21" s="31" t="s">
        <v>25</v>
      </c>
      <c r="H21" s="31" t="s">
        <v>25</v>
      </c>
      <c r="I21" s="31" t="s">
        <v>38</v>
      </c>
      <c r="J21" s="31" t="s">
        <v>568</v>
      </c>
      <c r="K21" s="31" t="s">
        <v>569</v>
      </c>
      <c r="L21" s="31" t="s">
        <v>69</v>
      </c>
      <c r="M21" s="31">
        <v>2021</v>
      </c>
      <c r="N21" s="31">
        <v>0</v>
      </c>
      <c r="O21" s="31">
        <v>346.27</v>
      </c>
      <c r="P21" s="31">
        <v>48.304717482543801</v>
      </c>
    </row>
    <row r="22" spans="1:16" ht="11.25" customHeight="1" x14ac:dyDescent="0.3">
      <c r="A22" s="31">
        <v>21</v>
      </c>
      <c r="B22" s="31" t="s">
        <v>423</v>
      </c>
      <c r="C22" s="31" t="s">
        <v>35</v>
      </c>
      <c r="D22" s="31" t="s">
        <v>50</v>
      </c>
      <c r="E22" s="31" t="s">
        <v>25</v>
      </c>
      <c r="F22" s="31" t="s">
        <v>25</v>
      </c>
      <c r="G22" s="31" t="s">
        <v>25</v>
      </c>
      <c r="H22" s="31" t="s">
        <v>25</v>
      </c>
      <c r="I22" s="31" t="s">
        <v>38</v>
      </c>
      <c r="J22" s="31" t="s">
        <v>570</v>
      </c>
      <c r="K22" s="31" t="s">
        <v>569</v>
      </c>
      <c r="L22" s="31" t="s">
        <v>72</v>
      </c>
      <c r="M22" s="31">
        <v>2021</v>
      </c>
      <c r="N22" s="31">
        <v>0</v>
      </c>
      <c r="O22" s="31">
        <v>41.15</v>
      </c>
      <c r="P22" s="31">
        <v>0</v>
      </c>
    </row>
    <row r="23" spans="1:16" ht="11.25" customHeight="1" x14ac:dyDescent="0.3">
      <c r="A23" s="31">
        <v>22</v>
      </c>
      <c r="B23" s="31" t="s">
        <v>423</v>
      </c>
      <c r="C23" s="31" t="s">
        <v>22</v>
      </c>
      <c r="D23" s="31" t="s">
        <v>39</v>
      </c>
      <c r="E23" s="31" t="s">
        <v>24</v>
      </c>
      <c r="F23" s="31" t="s">
        <v>24</v>
      </c>
      <c r="G23" s="31" t="s">
        <v>25</v>
      </c>
      <c r="H23" s="31" t="s">
        <v>25</v>
      </c>
      <c r="I23" s="31" t="s">
        <v>38</v>
      </c>
      <c r="J23" s="31" t="s">
        <v>568</v>
      </c>
      <c r="K23" s="31" t="s">
        <v>569</v>
      </c>
      <c r="L23" s="31" t="s">
        <v>69</v>
      </c>
      <c r="M23" s="31">
        <v>2021</v>
      </c>
      <c r="N23" s="31">
        <v>0</v>
      </c>
      <c r="O23" s="31">
        <v>367.2</v>
      </c>
      <c r="P23" s="31">
        <v>54.891724411981599</v>
      </c>
    </row>
    <row r="24" spans="1:16" ht="11.25" customHeight="1" x14ac:dyDescent="0.3">
      <c r="A24" s="31">
        <v>23</v>
      </c>
      <c r="B24" s="31" t="s">
        <v>423</v>
      </c>
      <c r="C24" s="31" t="s">
        <v>42</v>
      </c>
      <c r="D24" s="31" t="s">
        <v>39</v>
      </c>
      <c r="E24" s="31" t="s">
        <v>43</v>
      </c>
      <c r="F24" s="31" t="s">
        <v>85</v>
      </c>
      <c r="G24" s="31" t="s">
        <v>25</v>
      </c>
      <c r="H24" s="31" t="s">
        <v>25</v>
      </c>
      <c r="I24" s="31" t="s">
        <v>37</v>
      </c>
      <c r="J24" s="31" t="s">
        <v>568</v>
      </c>
      <c r="K24" s="31" t="s">
        <v>569</v>
      </c>
      <c r="L24" s="31" t="s">
        <v>69</v>
      </c>
      <c r="M24" s="31">
        <v>2021</v>
      </c>
      <c r="N24" s="31">
        <v>0</v>
      </c>
      <c r="O24" s="31">
        <v>1438.22</v>
      </c>
      <c r="P24" s="31">
        <v>48.304717482543801</v>
      </c>
    </row>
    <row r="25" spans="1:16" ht="11.25" customHeight="1" x14ac:dyDescent="0.3">
      <c r="A25" s="31">
        <v>24</v>
      </c>
      <c r="B25" s="31" t="s">
        <v>423</v>
      </c>
      <c r="C25" s="31" t="s">
        <v>33</v>
      </c>
      <c r="D25" s="31" t="s">
        <v>39</v>
      </c>
      <c r="E25" s="31" t="s">
        <v>25</v>
      </c>
      <c r="F25" s="31" t="s">
        <v>25</v>
      </c>
      <c r="G25" s="31" t="s">
        <v>25</v>
      </c>
      <c r="H25" s="31" t="s">
        <v>25</v>
      </c>
      <c r="I25" s="31" t="s">
        <v>38</v>
      </c>
      <c r="J25" s="31" t="s">
        <v>568</v>
      </c>
      <c r="K25" s="31" t="s">
        <v>569</v>
      </c>
      <c r="L25" s="31" t="s">
        <v>69</v>
      </c>
      <c r="M25" s="31">
        <v>2021</v>
      </c>
      <c r="N25" s="31">
        <v>0</v>
      </c>
      <c r="O25" s="31">
        <v>440.79</v>
      </c>
      <c r="P25" s="31">
        <v>54.891724411981599</v>
      </c>
    </row>
    <row r="26" spans="1:16" ht="11.25" customHeight="1" x14ac:dyDescent="0.3">
      <c r="A26" s="31">
        <v>25</v>
      </c>
      <c r="B26" s="31" t="s">
        <v>423</v>
      </c>
      <c r="C26" s="31" t="s">
        <v>78</v>
      </c>
      <c r="D26" s="31" t="s">
        <v>77</v>
      </c>
      <c r="E26" s="31" t="s">
        <v>25</v>
      </c>
      <c r="F26" s="31" t="s">
        <v>25</v>
      </c>
      <c r="G26" s="31" t="s">
        <v>79</v>
      </c>
      <c r="H26" s="31" t="s">
        <v>25</v>
      </c>
      <c r="I26" s="31" t="s">
        <v>25</v>
      </c>
      <c r="J26" s="31" t="s">
        <v>570</v>
      </c>
      <c r="K26" s="31" t="s">
        <v>569</v>
      </c>
      <c r="L26" s="31" t="s">
        <v>72</v>
      </c>
      <c r="M26" s="31">
        <v>2021</v>
      </c>
      <c r="N26" s="31">
        <v>0</v>
      </c>
      <c r="O26" s="31">
        <v>7.49</v>
      </c>
      <c r="P26" s="31">
        <v>0</v>
      </c>
    </row>
    <row r="27" spans="1:16" ht="11.25" customHeight="1" x14ac:dyDescent="0.3">
      <c r="A27" s="31">
        <v>26</v>
      </c>
      <c r="B27" s="31" t="s">
        <v>423</v>
      </c>
      <c r="C27" s="31" t="s">
        <v>22</v>
      </c>
      <c r="D27" s="31" t="s">
        <v>84</v>
      </c>
      <c r="E27" s="31" t="s">
        <v>24</v>
      </c>
      <c r="F27" s="31" t="s">
        <v>31</v>
      </c>
      <c r="G27" s="31" t="s">
        <v>25</v>
      </c>
      <c r="H27" s="31" t="s">
        <v>25</v>
      </c>
      <c r="I27" s="31" t="s">
        <v>25</v>
      </c>
      <c r="J27" s="31" t="s">
        <v>568</v>
      </c>
      <c r="K27" s="31" t="s">
        <v>569</v>
      </c>
      <c r="L27" s="31" t="s">
        <v>69</v>
      </c>
      <c r="M27" s="31">
        <v>2021</v>
      </c>
      <c r="N27" s="31">
        <v>0</v>
      </c>
      <c r="O27" s="31">
        <v>491.01</v>
      </c>
      <c r="P27" s="31">
        <v>0</v>
      </c>
    </row>
    <row r="28" spans="1:16" ht="11.25" customHeight="1" x14ac:dyDescent="0.3">
      <c r="A28" s="31">
        <v>27</v>
      </c>
      <c r="B28" s="31" t="s">
        <v>423</v>
      </c>
      <c r="C28" s="31" t="s">
        <v>35</v>
      </c>
      <c r="D28" s="31" t="s">
        <v>36</v>
      </c>
      <c r="E28" s="31" t="s">
        <v>25</v>
      </c>
      <c r="F28" s="31" t="s">
        <v>25</v>
      </c>
      <c r="G28" s="31" t="s">
        <v>25</v>
      </c>
      <c r="H28" s="31" t="s">
        <v>25</v>
      </c>
      <c r="I28" s="31" t="s">
        <v>25</v>
      </c>
      <c r="J28" s="31" t="s">
        <v>570</v>
      </c>
      <c r="K28" s="31" t="s">
        <v>569</v>
      </c>
      <c r="L28" s="31" t="s">
        <v>72</v>
      </c>
      <c r="M28" s="31">
        <v>2021</v>
      </c>
      <c r="N28" s="31">
        <v>0</v>
      </c>
      <c r="O28" s="31">
        <v>41.15</v>
      </c>
      <c r="P28" s="31">
        <v>0</v>
      </c>
    </row>
    <row r="29" spans="1:16" ht="11.25" customHeight="1" x14ac:dyDescent="0.3">
      <c r="A29" s="31">
        <v>28</v>
      </c>
      <c r="B29" s="31" t="s">
        <v>423</v>
      </c>
      <c r="C29" s="31" t="s">
        <v>33</v>
      </c>
      <c r="D29" s="31" t="s">
        <v>23</v>
      </c>
      <c r="E29" s="31" t="s">
        <v>25</v>
      </c>
      <c r="F29" s="31" t="s">
        <v>25</v>
      </c>
      <c r="G29" s="31" t="s">
        <v>25</v>
      </c>
      <c r="H29" s="31" t="s">
        <v>25</v>
      </c>
      <c r="I29" s="31" t="s">
        <v>25</v>
      </c>
      <c r="J29" s="31" t="s">
        <v>568</v>
      </c>
      <c r="K29" s="31" t="s">
        <v>569</v>
      </c>
      <c r="L29" s="31" t="s">
        <v>69</v>
      </c>
      <c r="M29" s="31">
        <v>2021</v>
      </c>
      <c r="N29" s="31">
        <v>0</v>
      </c>
      <c r="O29" s="31">
        <v>609.05999999999995</v>
      </c>
      <c r="P29" s="31">
        <v>54.891724411981599</v>
      </c>
    </row>
    <row r="30" spans="1:16" ht="11.25" customHeight="1" x14ac:dyDescent="0.3">
      <c r="A30" s="31">
        <v>29</v>
      </c>
      <c r="B30" s="31" t="s">
        <v>423</v>
      </c>
      <c r="C30" s="31" t="s">
        <v>42</v>
      </c>
      <c r="D30" s="31" t="s">
        <v>39</v>
      </c>
      <c r="E30" s="31" t="s">
        <v>43</v>
      </c>
      <c r="F30" s="31" t="s">
        <v>85</v>
      </c>
      <c r="G30" s="31" t="s">
        <v>25</v>
      </c>
      <c r="H30" s="31" t="s">
        <v>25</v>
      </c>
      <c r="I30" s="31" t="s">
        <v>38</v>
      </c>
      <c r="J30" s="31" t="s">
        <v>568</v>
      </c>
      <c r="K30" s="31" t="s">
        <v>569</v>
      </c>
      <c r="L30" s="31" t="s">
        <v>69</v>
      </c>
      <c r="M30" s="31">
        <v>2021</v>
      </c>
      <c r="N30" s="31">
        <v>0</v>
      </c>
      <c r="O30" s="31">
        <v>346.27</v>
      </c>
      <c r="P30" s="31">
        <v>48.304717482543801</v>
      </c>
    </row>
    <row r="31" spans="1:16" ht="11.25" customHeight="1" x14ac:dyDescent="0.3">
      <c r="A31" s="31">
        <v>30</v>
      </c>
      <c r="B31" s="31" t="s">
        <v>423</v>
      </c>
      <c r="C31" s="31" t="s">
        <v>33</v>
      </c>
      <c r="D31" s="31" t="s">
        <v>84</v>
      </c>
      <c r="E31" s="31" t="s">
        <v>25</v>
      </c>
      <c r="F31" s="31" t="s">
        <v>25</v>
      </c>
      <c r="G31" s="31" t="s">
        <v>25</v>
      </c>
      <c r="H31" s="31" t="s">
        <v>25</v>
      </c>
      <c r="I31" s="31" t="s">
        <v>25</v>
      </c>
      <c r="J31" s="31" t="s">
        <v>568</v>
      </c>
      <c r="K31" s="31" t="s">
        <v>569</v>
      </c>
      <c r="L31" s="31" t="s">
        <v>69</v>
      </c>
      <c r="M31" s="31">
        <v>2021</v>
      </c>
      <c r="N31" s="31">
        <v>0</v>
      </c>
      <c r="O31" s="31">
        <v>609.05999999999995</v>
      </c>
      <c r="P31" s="31">
        <v>54.891724411981599</v>
      </c>
    </row>
    <row r="32" spans="1:16" ht="11.25" customHeight="1" x14ac:dyDescent="0.3">
      <c r="A32" s="31">
        <v>31</v>
      </c>
      <c r="B32" s="31" t="s">
        <v>423</v>
      </c>
      <c r="C32" s="31" t="s">
        <v>35</v>
      </c>
      <c r="D32" s="31" t="s">
        <v>50</v>
      </c>
      <c r="E32" s="31" t="s">
        <v>25</v>
      </c>
      <c r="F32" s="31" t="s">
        <v>25</v>
      </c>
      <c r="G32" s="31" t="s">
        <v>25</v>
      </c>
      <c r="H32" s="31" t="s">
        <v>25</v>
      </c>
      <c r="I32" s="31" t="s">
        <v>37</v>
      </c>
      <c r="J32" s="31" t="s">
        <v>570</v>
      </c>
      <c r="K32" s="31" t="s">
        <v>569</v>
      </c>
      <c r="L32" s="31" t="s">
        <v>72</v>
      </c>
      <c r="M32" s="31">
        <v>2021</v>
      </c>
      <c r="N32" s="31">
        <v>0</v>
      </c>
      <c r="O32" s="31">
        <v>116.14</v>
      </c>
      <c r="P32" s="31">
        <v>0</v>
      </c>
    </row>
    <row r="33" spans="1:16" ht="11.25" customHeight="1" x14ac:dyDescent="0.3">
      <c r="A33" s="31">
        <v>32</v>
      </c>
      <c r="B33" s="31" t="s">
        <v>423</v>
      </c>
      <c r="C33" s="31" t="s">
        <v>35</v>
      </c>
      <c r="D33" s="31" t="s">
        <v>36</v>
      </c>
      <c r="E33" s="31" t="s">
        <v>25</v>
      </c>
      <c r="F33" s="31" t="s">
        <v>25</v>
      </c>
      <c r="G33" s="31" t="s">
        <v>25</v>
      </c>
      <c r="H33" s="31" t="s">
        <v>25</v>
      </c>
      <c r="I33" s="31" t="s">
        <v>37</v>
      </c>
      <c r="J33" s="31" t="s">
        <v>568</v>
      </c>
      <c r="K33" s="31" t="s">
        <v>569</v>
      </c>
      <c r="L33" s="31" t="s">
        <v>69</v>
      </c>
      <c r="M33" s="31">
        <v>2021</v>
      </c>
      <c r="N33" s="31">
        <v>0</v>
      </c>
      <c r="O33" s="31">
        <v>2859.84</v>
      </c>
      <c r="P33" s="31">
        <v>47.755800238424001</v>
      </c>
    </row>
    <row r="34" spans="1:16" ht="11.25" customHeight="1" x14ac:dyDescent="0.3">
      <c r="A34" s="31">
        <v>33</v>
      </c>
      <c r="B34" s="31" t="s">
        <v>423</v>
      </c>
      <c r="C34" s="31" t="s">
        <v>42</v>
      </c>
      <c r="D34" s="31" t="s">
        <v>39</v>
      </c>
      <c r="E34" s="31" t="s">
        <v>43</v>
      </c>
      <c r="F34" s="31" t="s">
        <v>86</v>
      </c>
      <c r="G34" s="31" t="s">
        <v>25</v>
      </c>
      <c r="H34" s="31" t="s">
        <v>25</v>
      </c>
      <c r="I34" s="31" t="s">
        <v>37</v>
      </c>
      <c r="J34" s="31" t="s">
        <v>568</v>
      </c>
      <c r="K34" s="31" t="s">
        <v>569</v>
      </c>
      <c r="L34" s="31" t="s">
        <v>69</v>
      </c>
      <c r="M34" s="31">
        <v>2021</v>
      </c>
      <c r="N34" s="31">
        <v>0</v>
      </c>
      <c r="O34" s="31">
        <v>1372.84</v>
      </c>
      <c r="P34" s="31">
        <v>46.109048506064603</v>
      </c>
    </row>
    <row r="35" spans="1:16" ht="11.25" customHeight="1" x14ac:dyDescent="0.3">
      <c r="A35" s="31">
        <v>34</v>
      </c>
      <c r="B35" s="31" t="s">
        <v>451</v>
      </c>
      <c r="C35" s="31" t="s">
        <v>35</v>
      </c>
      <c r="D35" s="31" t="s">
        <v>68</v>
      </c>
      <c r="E35" s="31" t="s">
        <v>25</v>
      </c>
      <c r="F35" s="31" t="s">
        <v>25</v>
      </c>
      <c r="G35" s="31" t="s">
        <v>25</v>
      </c>
      <c r="H35" s="31" t="s">
        <v>25</v>
      </c>
      <c r="I35" s="31" t="s">
        <v>37</v>
      </c>
      <c r="J35" s="31" t="s">
        <v>568</v>
      </c>
      <c r="K35" s="31" t="s">
        <v>569</v>
      </c>
      <c r="L35" s="31" t="s">
        <v>69</v>
      </c>
      <c r="M35" s="31">
        <v>2021</v>
      </c>
      <c r="N35" s="31">
        <v>0</v>
      </c>
      <c r="O35" s="31">
        <v>119.97</v>
      </c>
      <c r="P35" s="31"/>
    </row>
    <row r="36" spans="1:16" ht="11.25" customHeight="1" x14ac:dyDescent="0.3">
      <c r="A36" s="31">
        <v>35</v>
      </c>
      <c r="B36" s="31" t="s">
        <v>423</v>
      </c>
      <c r="C36" s="31" t="s">
        <v>22</v>
      </c>
      <c r="D36" s="31" t="s">
        <v>23</v>
      </c>
      <c r="E36" s="31" t="s">
        <v>24</v>
      </c>
      <c r="F36" s="31" t="s">
        <v>32</v>
      </c>
      <c r="G36" s="31" t="s">
        <v>25</v>
      </c>
      <c r="H36" s="31" t="s">
        <v>25</v>
      </c>
      <c r="I36" s="31" t="s">
        <v>25</v>
      </c>
      <c r="J36" s="31" t="s">
        <v>568</v>
      </c>
      <c r="K36" s="31" t="s">
        <v>569</v>
      </c>
      <c r="L36" s="31" t="s">
        <v>69</v>
      </c>
      <c r="M36" s="31">
        <v>2021</v>
      </c>
      <c r="N36" s="31">
        <v>0</v>
      </c>
      <c r="O36" s="31">
        <v>545.55999999999995</v>
      </c>
      <c r="P36" s="31">
        <v>0</v>
      </c>
    </row>
    <row r="37" spans="1:16" ht="11.25" customHeight="1" x14ac:dyDescent="0.3">
      <c r="A37" s="31">
        <v>36</v>
      </c>
      <c r="B37" s="31" t="s">
        <v>423</v>
      </c>
      <c r="C37" s="31" t="s">
        <v>42</v>
      </c>
      <c r="D37" s="31" t="s">
        <v>39</v>
      </c>
      <c r="E37" s="31" t="s">
        <v>43</v>
      </c>
      <c r="F37" s="31" t="s">
        <v>85</v>
      </c>
      <c r="G37" s="31" t="s">
        <v>25</v>
      </c>
      <c r="H37" s="31" t="s">
        <v>25</v>
      </c>
      <c r="I37" s="31" t="s">
        <v>40</v>
      </c>
      <c r="J37" s="31" t="s">
        <v>568</v>
      </c>
      <c r="K37" s="31" t="s">
        <v>569</v>
      </c>
      <c r="L37" s="31" t="s">
        <v>69</v>
      </c>
      <c r="M37" s="31">
        <v>2021</v>
      </c>
      <c r="N37" s="31">
        <v>0</v>
      </c>
      <c r="O37" s="31">
        <v>892.19</v>
      </c>
      <c r="P37" s="31">
        <v>48.304717482543801</v>
      </c>
    </row>
    <row r="38" spans="1:16" ht="11.25" customHeight="1" x14ac:dyDescent="0.3">
      <c r="A38" s="31">
        <v>37</v>
      </c>
      <c r="B38" s="31" t="s">
        <v>423</v>
      </c>
      <c r="C38" s="31" t="s">
        <v>33</v>
      </c>
      <c r="D38" s="31" t="s">
        <v>39</v>
      </c>
      <c r="E38" s="31" t="s">
        <v>25</v>
      </c>
      <c r="F38" s="31" t="s">
        <v>25</v>
      </c>
      <c r="G38" s="31" t="s">
        <v>25</v>
      </c>
      <c r="H38" s="31" t="s">
        <v>25</v>
      </c>
      <c r="I38" s="31" t="s">
        <v>37</v>
      </c>
      <c r="J38" s="31" t="s">
        <v>568</v>
      </c>
      <c r="K38" s="31" t="s">
        <v>569</v>
      </c>
      <c r="L38" s="31" t="s">
        <v>69</v>
      </c>
      <c r="M38" s="31">
        <v>2021</v>
      </c>
      <c r="N38" s="31">
        <v>0</v>
      </c>
      <c r="O38" s="31">
        <v>1870.98</v>
      </c>
      <c r="P38" s="31">
        <v>54.891724411981599</v>
      </c>
    </row>
    <row r="39" spans="1:16" ht="11.25" customHeight="1" x14ac:dyDescent="0.3">
      <c r="A39" s="31">
        <v>38</v>
      </c>
      <c r="B39" s="31" t="s">
        <v>451</v>
      </c>
      <c r="C39" s="31" t="s">
        <v>22</v>
      </c>
      <c r="D39" s="31" t="s">
        <v>82</v>
      </c>
      <c r="E39" s="31" t="s">
        <v>24</v>
      </c>
      <c r="F39" s="31" t="s">
        <v>29</v>
      </c>
      <c r="G39" s="31" t="s">
        <v>25</v>
      </c>
      <c r="H39" s="31" t="s">
        <v>25</v>
      </c>
      <c r="I39" s="31" t="s">
        <v>25</v>
      </c>
      <c r="J39" s="31" t="s">
        <v>568</v>
      </c>
      <c r="K39" s="31" t="s">
        <v>569</v>
      </c>
      <c r="L39" s="31" t="s">
        <v>69</v>
      </c>
      <c r="M39" s="31">
        <v>2021</v>
      </c>
      <c r="N39" s="31">
        <v>0</v>
      </c>
      <c r="O39" s="31">
        <v>41.99</v>
      </c>
      <c r="P39" s="31"/>
    </row>
    <row r="40" spans="1:16" ht="11.25" customHeight="1" x14ac:dyDescent="0.3">
      <c r="A40" s="31">
        <v>39</v>
      </c>
      <c r="B40" s="31" t="s">
        <v>423</v>
      </c>
      <c r="C40" s="31" t="s">
        <v>42</v>
      </c>
      <c r="D40" s="31" t="s">
        <v>39</v>
      </c>
      <c r="E40" s="31" t="s">
        <v>43</v>
      </c>
      <c r="F40" s="31" t="s">
        <v>86</v>
      </c>
      <c r="G40" s="31" t="s">
        <v>25</v>
      </c>
      <c r="H40" s="31" t="s">
        <v>25</v>
      </c>
      <c r="I40" s="31" t="s">
        <v>38</v>
      </c>
      <c r="J40" s="31" t="s">
        <v>568</v>
      </c>
      <c r="K40" s="31" t="s">
        <v>569</v>
      </c>
      <c r="L40" s="31" t="s">
        <v>69</v>
      </c>
      <c r="M40" s="31">
        <v>2021</v>
      </c>
      <c r="N40" s="31">
        <v>0</v>
      </c>
      <c r="O40" s="31">
        <v>330.53</v>
      </c>
      <c r="P40" s="31">
        <v>46.109048506064603</v>
      </c>
    </row>
    <row r="41" spans="1:16" ht="11.25" customHeight="1" x14ac:dyDescent="0.3">
      <c r="A41" s="31">
        <v>40</v>
      </c>
      <c r="B41" s="31" t="s">
        <v>451</v>
      </c>
      <c r="C41" s="31" t="s">
        <v>35</v>
      </c>
      <c r="D41" s="31" t="s">
        <v>68</v>
      </c>
      <c r="E41" s="31" t="s">
        <v>25</v>
      </c>
      <c r="F41" s="31" t="s">
        <v>25</v>
      </c>
      <c r="G41" s="31" t="s">
        <v>25</v>
      </c>
      <c r="H41" s="31" t="s">
        <v>25</v>
      </c>
      <c r="I41" s="31" t="s">
        <v>38</v>
      </c>
      <c r="J41" s="31" t="s">
        <v>568</v>
      </c>
      <c r="K41" s="31" t="s">
        <v>569</v>
      </c>
      <c r="L41" s="31" t="s">
        <v>69</v>
      </c>
      <c r="M41" s="31">
        <v>2021</v>
      </c>
      <c r="N41" s="31">
        <v>0</v>
      </c>
      <c r="O41" s="31">
        <v>119.97</v>
      </c>
      <c r="P41" s="31"/>
    </row>
    <row r="42" spans="1:16" ht="11.25" customHeight="1" x14ac:dyDescent="0.3">
      <c r="A42" s="31">
        <v>41</v>
      </c>
      <c r="B42" s="31" t="s">
        <v>423</v>
      </c>
      <c r="C42" s="31" t="s">
        <v>42</v>
      </c>
      <c r="D42" s="31" t="s">
        <v>84</v>
      </c>
      <c r="E42" s="31" t="s">
        <v>43</v>
      </c>
      <c r="F42" s="31" t="s">
        <v>86</v>
      </c>
      <c r="G42" s="31" t="s">
        <v>25</v>
      </c>
      <c r="H42" s="31" t="s">
        <v>25</v>
      </c>
      <c r="I42" s="31" t="s">
        <v>25</v>
      </c>
      <c r="J42" s="31" t="s">
        <v>568</v>
      </c>
      <c r="K42" s="31" t="s">
        <v>569</v>
      </c>
      <c r="L42" s="31" t="s">
        <v>69</v>
      </c>
      <c r="M42" s="31">
        <v>2021</v>
      </c>
      <c r="N42" s="31">
        <v>0</v>
      </c>
      <c r="O42" s="31">
        <v>511.61</v>
      </c>
      <c r="P42" s="31">
        <v>46.109048506064603</v>
      </c>
    </row>
    <row r="43" spans="1:16" ht="11.25" customHeight="1" x14ac:dyDescent="0.3">
      <c r="A43" s="31">
        <v>42</v>
      </c>
      <c r="B43" s="31" t="s">
        <v>423</v>
      </c>
      <c r="C43" s="31" t="s">
        <v>42</v>
      </c>
      <c r="D43" s="31" t="s">
        <v>84</v>
      </c>
      <c r="E43" s="31" t="s">
        <v>43</v>
      </c>
      <c r="F43" s="31" t="s">
        <v>85</v>
      </c>
      <c r="G43" s="31" t="s">
        <v>25</v>
      </c>
      <c r="H43" s="31" t="s">
        <v>25</v>
      </c>
      <c r="I43" s="31" t="s">
        <v>25</v>
      </c>
      <c r="J43" s="31" t="s">
        <v>568</v>
      </c>
      <c r="K43" s="31" t="s">
        <v>569</v>
      </c>
      <c r="L43" s="31" t="s">
        <v>69</v>
      </c>
      <c r="M43" s="31">
        <v>2021</v>
      </c>
      <c r="N43" s="31">
        <v>0</v>
      </c>
      <c r="O43" s="31">
        <v>535.97</v>
      </c>
      <c r="P43" s="31">
        <v>48.304717482543801</v>
      </c>
    </row>
    <row r="44" spans="1:16" ht="11.25" customHeight="1" x14ac:dyDescent="0.3">
      <c r="A44" s="31">
        <v>43</v>
      </c>
      <c r="B44" s="31" t="s">
        <v>451</v>
      </c>
      <c r="C44" s="31" t="s">
        <v>22</v>
      </c>
      <c r="D44" s="31" t="s">
        <v>82</v>
      </c>
      <c r="E44" s="31" t="s">
        <v>24</v>
      </c>
      <c r="F44" s="31" t="s">
        <v>24</v>
      </c>
      <c r="G44" s="31" t="s">
        <v>25</v>
      </c>
      <c r="H44" s="31" t="s">
        <v>25</v>
      </c>
      <c r="I44" s="31" t="s">
        <v>25</v>
      </c>
      <c r="J44" s="31" t="s">
        <v>568</v>
      </c>
      <c r="K44" s="31" t="s">
        <v>569</v>
      </c>
      <c r="L44" s="31" t="s">
        <v>69</v>
      </c>
      <c r="M44" s="31">
        <v>2021</v>
      </c>
      <c r="N44" s="31">
        <v>0</v>
      </c>
      <c r="O44" s="31">
        <v>119.97</v>
      </c>
      <c r="P44" s="31"/>
    </row>
    <row r="45" spans="1:16" ht="11.25" customHeight="1" x14ac:dyDescent="0.3">
      <c r="A45" s="31">
        <v>44</v>
      </c>
      <c r="B45" s="31" t="s">
        <v>451</v>
      </c>
      <c r="C45" s="31" t="s">
        <v>22</v>
      </c>
      <c r="D45" s="31" t="s">
        <v>68</v>
      </c>
      <c r="E45" s="31" t="s">
        <v>24</v>
      </c>
      <c r="F45" s="31" t="s">
        <v>24</v>
      </c>
      <c r="G45" s="31" t="s">
        <v>25</v>
      </c>
      <c r="H45" s="31" t="s">
        <v>25</v>
      </c>
      <c r="I45" s="31" t="s">
        <v>38</v>
      </c>
      <c r="J45" s="31" t="s">
        <v>568</v>
      </c>
      <c r="K45" s="31" t="s">
        <v>569</v>
      </c>
      <c r="L45" s="31" t="s">
        <v>69</v>
      </c>
      <c r="M45" s="31">
        <v>2021</v>
      </c>
      <c r="N45" s="31">
        <v>0</v>
      </c>
      <c r="O45" s="31">
        <v>119.97</v>
      </c>
      <c r="P45" s="31"/>
    </row>
    <row r="46" spans="1:16" ht="11.25" customHeight="1" x14ac:dyDescent="0.3">
      <c r="A46" s="31">
        <v>45</v>
      </c>
      <c r="B46" s="31" t="s">
        <v>423</v>
      </c>
      <c r="C46" s="31" t="s">
        <v>42</v>
      </c>
      <c r="D46" s="31" t="s">
        <v>39</v>
      </c>
      <c r="E46" s="31" t="s">
        <v>43</v>
      </c>
      <c r="F46" s="31" t="s">
        <v>86</v>
      </c>
      <c r="G46" s="31" t="s">
        <v>25</v>
      </c>
      <c r="H46" s="31" t="s">
        <v>25</v>
      </c>
      <c r="I46" s="31" t="s">
        <v>40</v>
      </c>
      <c r="J46" s="31" t="s">
        <v>568</v>
      </c>
      <c r="K46" s="31" t="s">
        <v>569</v>
      </c>
      <c r="L46" s="31" t="s">
        <v>69</v>
      </c>
      <c r="M46" s="31">
        <v>2021</v>
      </c>
      <c r="N46" s="31">
        <v>0</v>
      </c>
      <c r="O46" s="31">
        <v>851.64</v>
      </c>
      <c r="P46" s="31">
        <v>46.109048506064603</v>
      </c>
    </row>
    <row r="47" spans="1:16" ht="11.25" customHeight="1" x14ac:dyDescent="0.3">
      <c r="A47" s="31">
        <v>46</v>
      </c>
      <c r="B47" s="31" t="s">
        <v>423</v>
      </c>
      <c r="C47" s="31" t="s">
        <v>45</v>
      </c>
      <c r="D47" s="31" t="s">
        <v>23</v>
      </c>
      <c r="E47" s="31" t="s">
        <v>46</v>
      </c>
      <c r="F47" s="31" t="s">
        <v>47</v>
      </c>
      <c r="G47" s="31" t="s">
        <v>25</v>
      </c>
      <c r="H47" s="31" t="s">
        <v>25</v>
      </c>
      <c r="I47" s="31" t="s">
        <v>25</v>
      </c>
      <c r="J47" s="31" t="s">
        <v>568</v>
      </c>
      <c r="K47" s="31" t="s">
        <v>569</v>
      </c>
      <c r="L47" s="31" t="s">
        <v>69</v>
      </c>
      <c r="M47" s="31">
        <v>2021</v>
      </c>
      <c r="N47" s="31">
        <v>0</v>
      </c>
      <c r="O47" s="31">
        <v>334.98</v>
      </c>
      <c r="P47" s="31">
        <v>30.190448426589899</v>
      </c>
    </row>
    <row r="48" spans="1:16" ht="11.25" customHeight="1" x14ac:dyDescent="0.3">
      <c r="A48" s="31">
        <v>47</v>
      </c>
      <c r="B48" s="31" t="s">
        <v>423</v>
      </c>
      <c r="C48" s="31" t="s">
        <v>42</v>
      </c>
      <c r="D48" s="31" t="s">
        <v>23</v>
      </c>
      <c r="E48" s="31" t="s">
        <v>43</v>
      </c>
      <c r="F48" s="31" t="s">
        <v>86</v>
      </c>
      <c r="G48" s="31" t="s">
        <v>25</v>
      </c>
      <c r="H48" s="31" t="s">
        <v>25</v>
      </c>
      <c r="I48" s="31" t="s">
        <v>25</v>
      </c>
      <c r="J48" s="31" t="s">
        <v>568</v>
      </c>
      <c r="K48" s="31" t="s">
        <v>569</v>
      </c>
      <c r="L48" s="31" t="s">
        <v>69</v>
      </c>
      <c r="M48" s="31">
        <v>2021</v>
      </c>
      <c r="N48" s="31">
        <v>0</v>
      </c>
      <c r="O48" s="31">
        <v>511.61</v>
      </c>
      <c r="P48" s="31">
        <v>46.109048506064603</v>
      </c>
    </row>
    <row r="49" spans="1:16" ht="11.25" customHeight="1" x14ac:dyDescent="0.3">
      <c r="A49" s="31">
        <v>48</v>
      </c>
      <c r="B49" s="31" t="s">
        <v>451</v>
      </c>
      <c r="C49" s="31" t="s">
        <v>22</v>
      </c>
      <c r="D49" s="31" t="s">
        <v>68</v>
      </c>
      <c r="E49" s="31" t="s">
        <v>24</v>
      </c>
      <c r="F49" s="31" t="s">
        <v>24</v>
      </c>
      <c r="G49" s="31" t="s">
        <v>25</v>
      </c>
      <c r="H49" s="31" t="s">
        <v>25</v>
      </c>
      <c r="I49" s="31" t="s">
        <v>37</v>
      </c>
      <c r="J49" s="31" t="s">
        <v>568</v>
      </c>
      <c r="K49" s="31" t="s">
        <v>569</v>
      </c>
      <c r="L49" s="31" t="s">
        <v>69</v>
      </c>
      <c r="M49" s="31">
        <v>2021</v>
      </c>
      <c r="N49" s="31">
        <v>0</v>
      </c>
      <c r="O49" s="31">
        <v>119.97</v>
      </c>
      <c r="P49" s="31"/>
    </row>
    <row r="50" spans="1:16" ht="11.25" customHeight="1" x14ac:dyDescent="0.3">
      <c r="A50" s="31">
        <v>49</v>
      </c>
      <c r="B50" s="31" t="s">
        <v>423</v>
      </c>
      <c r="C50" s="31" t="s">
        <v>42</v>
      </c>
      <c r="D50" s="31" t="s">
        <v>23</v>
      </c>
      <c r="E50" s="31" t="s">
        <v>43</v>
      </c>
      <c r="F50" s="31" t="s">
        <v>25</v>
      </c>
      <c r="G50" s="31" t="s">
        <v>25</v>
      </c>
      <c r="H50" s="31" t="s">
        <v>25</v>
      </c>
      <c r="I50" s="31" t="s">
        <v>25</v>
      </c>
      <c r="J50" s="31" t="s">
        <v>568</v>
      </c>
      <c r="K50" s="31" t="s">
        <v>569</v>
      </c>
      <c r="L50" s="31" t="s">
        <v>69</v>
      </c>
      <c r="M50" s="31">
        <v>2021</v>
      </c>
      <c r="N50" s="31">
        <v>0</v>
      </c>
      <c r="O50" s="31">
        <v>535.97</v>
      </c>
      <c r="P50" s="31">
        <v>48.304717482543801</v>
      </c>
    </row>
    <row r="51" spans="1:16" ht="11.25" customHeight="1" x14ac:dyDescent="0.3">
      <c r="A51" s="31">
        <v>50</v>
      </c>
      <c r="B51" s="31" t="s">
        <v>423</v>
      </c>
      <c r="C51" s="31" t="s">
        <v>33</v>
      </c>
      <c r="D51" s="31" t="s">
        <v>39</v>
      </c>
      <c r="E51" s="31" t="s">
        <v>25</v>
      </c>
      <c r="F51" s="31" t="s">
        <v>25</v>
      </c>
      <c r="G51" s="31" t="s">
        <v>25</v>
      </c>
      <c r="H51" s="31" t="s">
        <v>25</v>
      </c>
      <c r="I51" s="31" t="s">
        <v>40</v>
      </c>
      <c r="J51" s="31" t="s">
        <v>568</v>
      </c>
      <c r="K51" s="31" t="s">
        <v>569</v>
      </c>
      <c r="L51" s="31" t="s">
        <v>69</v>
      </c>
      <c r="M51" s="31">
        <v>2021</v>
      </c>
      <c r="N51" s="31">
        <v>0</v>
      </c>
      <c r="O51" s="31">
        <v>1155.83</v>
      </c>
      <c r="P51" s="31">
        <v>54.891724411981599</v>
      </c>
    </row>
    <row r="52" spans="1:16" ht="11.25" customHeight="1" x14ac:dyDescent="0.3">
      <c r="A52" s="31">
        <v>51</v>
      </c>
      <c r="B52" s="31" t="s">
        <v>423</v>
      </c>
      <c r="C52" s="31" t="s">
        <v>42</v>
      </c>
      <c r="D52" s="31" t="s">
        <v>84</v>
      </c>
      <c r="E52" s="31" t="s">
        <v>43</v>
      </c>
      <c r="F52" s="31" t="s">
        <v>25</v>
      </c>
      <c r="G52" s="31" t="s">
        <v>25</v>
      </c>
      <c r="H52" s="31" t="s">
        <v>25</v>
      </c>
      <c r="I52" s="31" t="s">
        <v>25</v>
      </c>
      <c r="J52" s="31" t="s">
        <v>568</v>
      </c>
      <c r="K52" s="31" t="s">
        <v>569</v>
      </c>
      <c r="L52" s="31" t="s">
        <v>69</v>
      </c>
      <c r="M52" s="31">
        <v>2021</v>
      </c>
      <c r="N52" s="31">
        <v>0</v>
      </c>
      <c r="O52" s="31">
        <v>535.97</v>
      </c>
      <c r="P52" s="31">
        <v>48.304717482543801</v>
      </c>
    </row>
    <row r="53" spans="1:16" ht="11.25" customHeight="1" x14ac:dyDescent="0.3">
      <c r="A53" s="31">
        <v>52</v>
      </c>
      <c r="B53" s="31" t="s">
        <v>451</v>
      </c>
      <c r="C53" s="31" t="s">
        <v>22</v>
      </c>
      <c r="D53" s="31" t="s">
        <v>68</v>
      </c>
      <c r="E53" s="31" t="s">
        <v>24</v>
      </c>
      <c r="F53" s="31" t="s">
        <v>24</v>
      </c>
      <c r="G53" s="31" t="s">
        <v>25</v>
      </c>
      <c r="H53" s="31" t="s">
        <v>25</v>
      </c>
      <c r="I53" s="31" t="s">
        <v>40</v>
      </c>
      <c r="J53" s="31" t="s">
        <v>568</v>
      </c>
      <c r="K53" s="31" t="s">
        <v>569</v>
      </c>
      <c r="L53" s="31" t="s">
        <v>69</v>
      </c>
      <c r="M53" s="31">
        <v>2021</v>
      </c>
      <c r="N53" s="31">
        <v>0</v>
      </c>
      <c r="O53" s="31">
        <v>119.97</v>
      </c>
      <c r="P53" s="31"/>
    </row>
    <row r="54" spans="1:16" ht="11.25" customHeight="1" x14ac:dyDescent="0.3">
      <c r="A54" s="31">
        <v>53</v>
      </c>
      <c r="B54" s="31" t="s">
        <v>423</v>
      </c>
      <c r="C54" s="31" t="s">
        <v>45</v>
      </c>
      <c r="D54" s="31" t="s">
        <v>23</v>
      </c>
      <c r="E54" s="31" t="s">
        <v>46</v>
      </c>
      <c r="F54" s="31" t="s">
        <v>87</v>
      </c>
      <c r="G54" s="31" t="s">
        <v>25</v>
      </c>
      <c r="H54" s="31" t="s">
        <v>25</v>
      </c>
      <c r="I54" s="31" t="s">
        <v>25</v>
      </c>
      <c r="J54" s="31" t="s">
        <v>568</v>
      </c>
      <c r="K54" s="31" t="s">
        <v>569</v>
      </c>
      <c r="L54" s="31" t="s">
        <v>69</v>
      </c>
      <c r="M54" s="31">
        <v>2021</v>
      </c>
      <c r="N54" s="31">
        <v>0</v>
      </c>
      <c r="O54" s="31">
        <v>365.44</v>
      </c>
      <c r="P54" s="31">
        <v>32.935034647188999</v>
      </c>
    </row>
    <row r="55" spans="1:16" ht="11.25" customHeight="1" x14ac:dyDescent="0.3">
      <c r="A55" s="31">
        <v>54</v>
      </c>
      <c r="B55" s="31" t="s">
        <v>423</v>
      </c>
      <c r="C55" s="31" t="s">
        <v>42</v>
      </c>
      <c r="D55" s="31" t="s">
        <v>23</v>
      </c>
      <c r="E55" s="31" t="s">
        <v>43</v>
      </c>
      <c r="F55" s="31" t="s">
        <v>85</v>
      </c>
      <c r="G55" s="31" t="s">
        <v>25</v>
      </c>
      <c r="H55" s="31" t="s">
        <v>25</v>
      </c>
      <c r="I55" s="31" t="s">
        <v>25</v>
      </c>
      <c r="J55" s="31" t="s">
        <v>568</v>
      </c>
      <c r="K55" s="31" t="s">
        <v>569</v>
      </c>
      <c r="L55" s="31" t="s">
        <v>69</v>
      </c>
      <c r="M55" s="31">
        <v>2021</v>
      </c>
      <c r="N55" s="31">
        <v>0</v>
      </c>
      <c r="O55" s="31">
        <v>535.97</v>
      </c>
      <c r="P55" s="31">
        <v>48.304717482543801</v>
      </c>
    </row>
    <row r="56" spans="1:16" ht="11.25" customHeight="1" x14ac:dyDescent="0.3">
      <c r="A56" s="31">
        <v>55</v>
      </c>
      <c r="B56" s="31" t="s">
        <v>451</v>
      </c>
      <c r="C56" s="31" t="s">
        <v>22</v>
      </c>
      <c r="D56" s="31" t="s">
        <v>82</v>
      </c>
      <c r="E56" s="31" t="s">
        <v>24</v>
      </c>
      <c r="F56" s="31" t="s">
        <v>30</v>
      </c>
      <c r="G56" s="31" t="s">
        <v>25</v>
      </c>
      <c r="H56" s="31" t="s">
        <v>25</v>
      </c>
      <c r="I56" s="31" t="s">
        <v>25</v>
      </c>
      <c r="J56" s="31" t="s">
        <v>568</v>
      </c>
      <c r="K56" s="31" t="s">
        <v>569</v>
      </c>
      <c r="L56" s="31" t="s">
        <v>69</v>
      </c>
      <c r="M56" s="31">
        <v>2021</v>
      </c>
      <c r="N56" s="31">
        <v>0</v>
      </c>
      <c r="O56" s="31">
        <v>71.98</v>
      </c>
      <c r="P56" s="31"/>
    </row>
    <row r="57" spans="1:16" ht="11.25" customHeight="1" x14ac:dyDescent="0.3">
      <c r="A57" s="31">
        <v>56</v>
      </c>
      <c r="B57" s="31" t="s">
        <v>451</v>
      </c>
      <c r="C57" s="31" t="s">
        <v>22</v>
      </c>
      <c r="D57" s="31" t="s">
        <v>83</v>
      </c>
      <c r="E57" s="31" t="s">
        <v>24</v>
      </c>
      <c r="F57" s="31" t="s">
        <v>30</v>
      </c>
      <c r="G57" s="31" t="s">
        <v>25</v>
      </c>
      <c r="H57" s="31" t="s">
        <v>25</v>
      </c>
      <c r="I57" s="31" t="s">
        <v>25</v>
      </c>
      <c r="J57" s="31" t="s">
        <v>568</v>
      </c>
      <c r="K57" s="31" t="s">
        <v>569</v>
      </c>
      <c r="L57" s="31" t="s">
        <v>69</v>
      </c>
      <c r="M57" s="31">
        <v>2021</v>
      </c>
      <c r="N57" s="31">
        <v>0</v>
      </c>
      <c r="O57" s="31">
        <v>71.98</v>
      </c>
      <c r="P57" s="31"/>
    </row>
    <row r="58" spans="1:16" ht="11.25" customHeight="1" x14ac:dyDescent="0.3">
      <c r="A58" s="31">
        <v>57</v>
      </c>
      <c r="B58" s="31" t="s">
        <v>451</v>
      </c>
      <c r="C58" s="31" t="s">
        <v>22</v>
      </c>
      <c r="D58" s="31" t="s">
        <v>83</v>
      </c>
      <c r="E58" s="31" t="s">
        <v>24</v>
      </c>
      <c r="F58" s="31" t="s">
        <v>32</v>
      </c>
      <c r="G58" s="31" t="s">
        <v>25</v>
      </c>
      <c r="H58" s="31" t="s">
        <v>25</v>
      </c>
      <c r="I58" s="31" t="s">
        <v>25</v>
      </c>
      <c r="J58" s="31" t="s">
        <v>568</v>
      </c>
      <c r="K58" s="31" t="s">
        <v>569</v>
      </c>
      <c r="L58" s="31" t="s">
        <v>69</v>
      </c>
      <c r="M58" s="31">
        <v>2021</v>
      </c>
      <c r="N58" s="31">
        <v>0</v>
      </c>
      <c r="O58" s="31">
        <v>119.97</v>
      </c>
      <c r="P58" s="31"/>
    </row>
    <row r="59" spans="1:16" ht="11.25" customHeight="1" x14ac:dyDescent="0.3">
      <c r="A59" s="31">
        <v>58</v>
      </c>
      <c r="B59" s="31" t="s">
        <v>451</v>
      </c>
      <c r="C59" s="31" t="s">
        <v>42</v>
      </c>
      <c r="D59" s="31" t="s">
        <v>83</v>
      </c>
      <c r="E59" s="31" t="s">
        <v>43</v>
      </c>
      <c r="F59" s="31" t="s">
        <v>25</v>
      </c>
      <c r="G59" s="31" t="s">
        <v>25</v>
      </c>
      <c r="H59" s="31" t="s">
        <v>25</v>
      </c>
      <c r="I59" s="31" t="s">
        <v>25</v>
      </c>
      <c r="J59" s="31" t="s">
        <v>568</v>
      </c>
      <c r="K59" s="31" t="s">
        <v>569</v>
      </c>
      <c r="L59" s="31" t="s">
        <v>69</v>
      </c>
      <c r="M59" s="31">
        <v>2021</v>
      </c>
      <c r="N59" s="31">
        <v>0</v>
      </c>
      <c r="O59" s="31">
        <v>105.58</v>
      </c>
      <c r="P59" s="31"/>
    </row>
    <row r="60" spans="1:16" ht="11.25" customHeight="1" x14ac:dyDescent="0.3">
      <c r="A60" s="31">
        <v>59</v>
      </c>
      <c r="B60" s="31" t="s">
        <v>451</v>
      </c>
      <c r="C60" s="31" t="s">
        <v>42</v>
      </c>
      <c r="D60" s="31" t="s">
        <v>82</v>
      </c>
      <c r="E60" s="31" t="s">
        <v>43</v>
      </c>
      <c r="F60" s="31" t="s">
        <v>25</v>
      </c>
      <c r="G60" s="31" t="s">
        <v>25</v>
      </c>
      <c r="H60" s="31" t="s">
        <v>25</v>
      </c>
      <c r="I60" s="31" t="s">
        <v>25</v>
      </c>
      <c r="J60" s="31" t="s">
        <v>568</v>
      </c>
      <c r="K60" s="31" t="s">
        <v>569</v>
      </c>
      <c r="L60" s="31" t="s">
        <v>69</v>
      </c>
      <c r="M60" s="31">
        <v>2021</v>
      </c>
      <c r="N60" s="31">
        <v>0</v>
      </c>
      <c r="O60" s="31">
        <v>105.58</v>
      </c>
      <c r="P60" s="31"/>
    </row>
    <row r="61" spans="1:16" ht="11.25" customHeight="1" x14ac:dyDescent="0.3">
      <c r="A61" s="31">
        <v>60</v>
      </c>
      <c r="B61" s="31" t="s">
        <v>451</v>
      </c>
      <c r="C61" s="31" t="s">
        <v>33</v>
      </c>
      <c r="D61" s="31" t="s">
        <v>68</v>
      </c>
      <c r="E61" s="31" t="s">
        <v>25</v>
      </c>
      <c r="F61" s="31" t="s">
        <v>25</v>
      </c>
      <c r="G61" s="31" t="s">
        <v>25</v>
      </c>
      <c r="H61" s="31" t="s">
        <v>25</v>
      </c>
      <c r="I61" s="31" t="s">
        <v>38</v>
      </c>
      <c r="J61" s="31" t="s">
        <v>568</v>
      </c>
      <c r="K61" s="31" t="s">
        <v>569</v>
      </c>
      <c r="L61" s="31" t="s">
        <v>69</v>
      </c>
      <c r="M61" s="31">
        <v>2021</v>
      </c>
      <c r="N61" s="31">
        <v>0</v>
      </c>
      <c r="O61" s="31">
        <v>119.97</v>
      </c>
      <c r="P61" s="31"/>
    </row>
    <row r="62" spans="1:16" ht="11.25" customHeight="1" x14ac:dyDescent="0.3">
      <c r="A62" s="31">
        <v>61</v>
      </c>
      <c r="B62" s="31" t="s">
        <v>451</v>
      </c>
      <c r="C62" s="31" t="s">
        <v>22</v>
      </c>
      <c r="D62" s="31" t="s">
        <v>83</v>
      </c>
      <c r="E62" s="31" t="s">
        <v>24</v>
      </c>
      <c r="F62" s="31" t="s">
        <v>24</v>
      </c>
      <c r="G62" s="31" t="s">
        <v>25</v>
      </c>
      <c r="H62" s="31" t="s">
        <v>25</v>
      </c>
      <c r="I62" s="31" t="s">
        <v>25</v>
      </c>
      <c r="J62" s="31" t="s">
        <v>568</v>
      </c>
      <c r="K62" s="31" t="s">
        <v>569</v>
      </c>
      <c r="L62" s="31" t="s">
        <v>69</v>
      </c>
      <c r="M62" s="31">
        <v>2021</v>
      </c>
      <c r="N62" s="31">
        <v>0</v>
      </c>
      <c r="O62" s="31">
        <v>119.97</v>
      </c>
      <c r="P62" s="31"/>
    </row>
    <row r="63" spans="1:16" ht="11.25" customHeight="1" x14ac:dyDescent="0.3">
      <c r="A63" s="31">
        <v>62</v>
      </c>
      <c r="B63" s="31" t="s">
        <v>451</v>
      </c>
      <c r="C63" s="31" t="s">
        <v>42</v>
      </c>
      <c r="D63" s="31" t="s">
        <v>68</v>
      </c>
      <c r="E63" s="31" t="s">
        <v>43</v>
      </c>
      <c r="F63" s="31" t="s">
        <v>86</v>
      </c>
      <c r="G63" s="31" t="s">
        <v>25</v>
      </c>
      <c r="H63" s="31" t="s">
        <v>25</v>
      </c>
      <c r="I63" s="31" t="s">
        <v>37</v>
      </c>
      <c r="J63" s="31" t="s">
        <v>568</v>
      </c>
      <c r="K63" s="31" t="s">
        <v>569</v>
      </c>
      <c r="L63" s="31" t="s">
        <v>69</v>
      </c>
      <c r="M63" s="31">
        <v>2021</v>
      </c>
      <c r="N63" s="31">
        <v>0</v>
      </c>
      <c r="O63" s="31">
        <v>100.78</v>
      </c>
      <c r="P63" s="31"/>
    </row>
    <row r="64" spans="1:16" ht="11.25" customHeight="1" x14ac:dyDescent="0.3">
      <c r="A64" s="31">
        <v>63</v>
      </c>
      <c r="B64" s="31" t="s">
        <v>451</v>
      </c>
      <c r="C64" s="31" t="s">
        <v>22</v>
      </c>
      <c r="D64" s="31" t="s">
        <v>82</v>
      </c>
      <c r="E64" s="31" t="s">
        <v>24</v>
      </c>
      <c r="F64" s="31" t="s">
        <v>31</v>
      </c>
      <c r="G64" s="31" t="s">
        <v>25</v>
      </c>
      <c r="H64" s="31" t="s">
        <v>25</v>
      </c>
      <c r="I64" s="31" t="s">
        <v>25</v>
      </c>
      <c r="J64" s="31" t="s">
        <v>568</v>
      </c>
      <c r="K64" s="31" t="s">
        <v>569</v>
      </c>
      <c r="L64" s="31" t="s">
        <v>69</v>
      </c>
      <c r="M64" s="31">
        <v>2021</v>
      </c>
      <c r="N64" s="31">
        <v>0</v>
      </c>
      <c r="O64" s="31">
        <v>107.98</v>
      </c>
      <c r="P64" s="31"/>
    </row>
    <row r="65" spans="1:16" ht="11.25" customHeight="1" x14ac:dyDescent="0.3">
      <c r="A65" s="31">
        <v>64</v>
      </c>
      <c r="B65" s="31" t="s">
        <v>451</v>
      </c>
      <c r="C65" s="31" t="s">
        <v>42</v>
      </c>
      <c r="D65" s="31" t="s">
        <v>68</v>
      </c>
      <c r="E65" s="31" t="s">
        <v>43</v>
      </c>
      <c r="F65" s="31" t="s">
        <v>85</v>
      </c>
      <c r="G65" s="31" t="s">
        <v>25</v>
      </c>
      <c r="H65" s="31" t="s">
        <v>25</v>
      </c>
      <c r="I65" s="31" t="s">
        <v>38</v>
      </c>
      <c r="J65" s="31" t="s">
        <v>568</v>
      </c>
      <c r="K65" s="31" t="s">
        <v>569</v>
      </c>
      <c r="L65" s="31" t="s">
        <v>69</v>
      </c>
      <c r="M65" s="31">
        <v>2021</v>
      </c>
      <c r="N65" s="31">
        <v>0</v>
      </c>
      <c r="O65" s="31">
        <v>105.58</v>
      </c>
      <c r="P65" s="31"/>
    </row>
    <row r="66" spans="1:16" ht="11.25" customHeight="1" x14ac:dyDescent="0.3">
      <c r="A66" s="31">
        <v>65</v>
      </c>
      <c r="B66" s="31" t="s">
        <v>451</v>
      </c>
      <c r="C66" s="31" t="s">
        <v>22</v>
      </c>
      <c r="D66" s="31" t="s">
        <v>83</v>
      </c>
      <c r="E66" s="31" t="s">
        <v>24</v>
      </c>
      <c r="F66" s="31" t="s">
        <v>31</v>
      </c>
      <c r="G66" s="31" t="s">
        <v>25</v>
      </c>
      <c r="H66" s="31" t="s">
        <v>25</v>
      </c>
      <c r="I66" s="31" t="s">
        <v>25</v>
      </c>
      <c r="J66" s="31" t="s">
        <v>568</v>
      </c>
      <c r="K66" s="31" t="s">
        <v>569</v>
      </c>
      <c r="L66" s="31" t="s">
        <v>69</v>
      </c>
      <c r="M66" s="31">
        <v>2021</v>
      </c>
      <c r="N66" s="31">
        <v>0</v>
      </c>
      <c r="O66" s="31">
        <v>107.98</v>
      </c>
      <c r="P66" s="31"/>
    </row>
    <row r="67" spans="1:16" ht="11.25" customHeight="1" x14ac:dyDescent="0.3">
      <c r="A67" s="31">
        <v>66</v>
      </c>
      <c r="B67" s="31" t="s">
        <v>451</v>
      </c>
      <c r="C67" s="31" t="s">
        <v>42</v>
      </c>
      <c r="D67" s="31" t="s">
        <v>82</v>
      </c>
      <c r="E67" s="31" t="s">
        <v>43</v>
      </c>
      <c r="F67" s="31" t="s">
        <v>86</v>
      </c>
      <c r="G67" s="31" t="s">
        <v>25</v>
      </c>
      <c r="H67" s="31" t="s">
        <v>25</v>
      </c>
      <c r="I67" s="31" t="s">
        <v>25</v>
      </c>
      <c r="J67" s="31" t="s">
        <v>568</v>
      </c>
      <c r="K67" s="31" t="s">
        <v>569</v>
      </c>
      <c r="L67" s="31" t="s">
        <v>69</v>
      </c>
      <c r="M67" s="31">
        <v>2021</v>
      </c>
      <c r="N67" s="31">
        <v>0</v>
      </c>
      <c r="O67" s="31">
        <v>100.78</v>
      </c>
      <c r="P67" s="31"/>
    </row>
    <row r="68" spans="1:16" ht="11.25" customHeight="1" x14ac:dyDescent="0.3">
      <c r="A68" s="31">
        <v>67</v>
      </c>
      <c r="B68" s="31" t="s">
        <v>451</v>
      </c>
      <c r="C68" s="31" t="s">
        <v>42</v>
      </c>
      <c r="D68" s="31" t="s">
        <v>68</v>
      </c>
      <c r="E68" s="31" t="s">
        <v>43</v>
      </c>
      <c r="F68" s="31" t="s">
        <v>25</v>
      </c>
      <c r="G68" s="31" t="s">
        <v>25</v>
      </c>
      <c r="H68" s="31" t="s">
        <v>25</v>
      </c>
      <c r="I68" s="31" t="s">
        <v>37</v>
      </c>
      <c r="J68" s="31" t="s">
        <v>568</v>
      </c>
      <c r="K68" s="31" t="s">
        <v>569</v>
      </c>
      <c r="L68" s="31" t="s">
        <v>69</v>
      </c>
      <c r="M68" s="31">
        <v>2021</v>
      </c>
      <c r="N68" s="31">
        <v>0</v>
      </c>
      <c r="O68" s="31">
        <v>105.58</v>
      </c>
      <c r="P68" s="31"/>
    </row>
    <row r="69" spans="1:16" ht="11.25" customHeight="1" x14ac:dyDescent="0.3">
      <c r="A69" s="31">
        <v>68</v>
      </c>
      <c r="B69" s="31" t="s">
        <v>451</v>
      </c>
      <c r="C69" s="31" t="s">
        <v>42</v>
      </c>
      <c r="D69" s="31" t="s">
        <v>83</v>
      </c>
      <c r="E69" s="31" t="s">
        <v>43</v>
      </c>
      <c r="F69" s="31" t="s">
        <v>85</v>
      </c>
      <c r="G69" s="31" t="s">
        <v>25</v>
      </c>
      <c r="H69" s="31" t="s">
        <v>25</v>
      </c>
      <c r="I69" s="31" t="s">
        <v>25</v>
      </c>
      <c r="J69" s="31" t="s">
        <v>568</v>
      </c>
      <c r="K69" s="31" t="s">
        <v>569</v>
      </c>
      <c r="L69" s="31" t="s">
        <v>69</v>
      </c>
      <c r="M69" s="31">
        <v>2021</v>
      </c>
      <c r="N69" s="31">
        <v>0</v>
      </c>
      <c r="O69" s="31">
        <v>105.58</v>
      </c>
      <c r="P69" s="31"/>
    </row>
    <row r="70" spans="1:16" ht="11.25" customHeight="1" x14ac:dyDescent="0.3">
      <c r="A70" s="31">
        <v>69</v>
      </c>
      <c r="B70" s="31" t="s">
        <v>451</v>
      </c>
      <c r="C70" s="31" t="s">
        <v>42</v>
      </c>
      <c r="D70" s="31" t="s">
        <v>83</v>
      </c>
      <c r="E70" s="31" t="s">
        <v>43</v>
      </c>
      <c r="F70" s="31" t="s">
        <v>86</v>
      </c>
      <c r="G70" s="31" t="s">
        <v>25</v>
      </c>
      <c r="H70" s="31" t="s">
        <v>25</v>
      </c>
      <c r="I70" s="31" t="s">
        <v>25</v>
      </c>
      <c r="J70" s="31" t="s">
        <v>568</v>
      </c>
      <c r="K70" s="31" t="s">
        <v>569</v>
      </c>
      <c r="L70" s="31" t="s">
        <v>69</v>
      </c>
      <c r="M70" s="31">
        <v>2021</v>
      </c>
      <c r="N70" s="31">
        <v>0</v>
      </c>
      <c r="O70" s="31">
        <v>100.78</v>
      </c>
      <c r="P70" s="31"/>
    </row>
    <row r="71" spans="1:16" ht="11.25" customHeight="1" x14ac:dyDescent="0.3">
      <c r="A71" s="31">
        <v>70</v>
      </c>
      <c r="B71" s="31" t="s">
        <v>451</v>
      </c>
      <c r="C71" s="31" t="s">
        <v>22</v>
      </c>
      <c r="D71" s="31" t="s">
        <v>83</v>
      </c>
      <c r="E71" s="31" t="s">
        <v>24</v>
      </c>
      <c r="F71" s="31" t="s">
        <v>29</v>
      </c>
      <c r="G71" s="31" t="s">
        <v>25</v>
      </c>
      <c r="H71" s="31" t="s">
        <v>25</v>
      </c>
      <c r="I71" s="31" t="s">
        <v>25</v>
      </c>
      <c r="J71" s="31" t="s">
        <v>568</v>
      </c>
      <c r="K71" s="31" t="s">
        <v>569</v>
      </c>
      <c r="L71" s="31" t="s">
        <v>69</v>
      </c>
      <c r="M71" s="31">
        <v>2021</v>
      </c>
      <c r="N71" s="31">
        <v>0</v>
      </c>
      <c r="O71" s="31">
        <v>41.99</v>
      </c>
      <c r="P71" s="31"/>
    </row>
    <row r="72" spans="1:16" ht="11.25" customHeight="1" x14ac:dyDescent="0.3">
      <c r="A72" s="31">
        <v>71</v>
      </c>
      <c r="B72" s="31" t="s">
        <v>451</v>
      </c>
      <c r="C72" s="31" t="s">
        <v>42</v>
      </c>
      <c r="D72" s="31" t="s">
        <v>68</v>
      </c>
      <c r="E72" s="31" t="s">
        <v>43</v>
      </c>
      <c r="F72" s="31" t="s">
        <v>86</v>
      </c>
      <c r="G72" s="31" t="s">
        <v>25</v>
      </c>
      <c r="H72" s="31" t="s">
        <v>25</v>
      </c>
      <c r="I72" s="31" t="s">
        <v>40</v>
      </c>
      <c r="J72" s="31" t="s">
        <v>568</v>
      </c>
      <c r="K72" s="31" t="s">
        <v>569</v>
      </c>
      <c r="L72" s="31" t="s">
        <v>69</v>
      </c>
      <c r="M72" s="31">
        <v>2021</v>
      </c>
      <c r="N72" s="31">
        <v>0</v>
      </c>
      <c r="O72" s="31">
        <v>100.78</v>
      </c>
      <c r="P72" s="31"/>
    </row>
    <row r="73" spans="1:16" ht="11.25" customHeight="1" x14ac:dyDescent="0.3">
      <c r="A73" s="31">
        <v>72</v>
      </c>
      <c r="B73" s="31" t="s">
        <v>451</v>
      </c>
      <c r="C73" s="31" t="s">
        <v>33</v>
      </c>
      <c r="D73" s="31" t="s">
        <v>68</v>
      </c>
      <c r="E73" s="31" t="s">
        <v>25</v>
      </c>
      <c r="F73" s="31" t="s">
        <v>25</v>
      </c>
      <c r="G73" s="31" t="s">
        <v>25</v>
      </c>
      <c r="H73" s="31" t="s">
        <v>25</v>
      </c>
      <c r="I73" s="31" t="s">
        <v>40</v>
      </c>
      <c r="J73" s="31" t="s">
        <v>568</v>
      </c>
      <c r="K73" s="31" t="s">
        <v>569</v>
      </c>
      <c r="L73" s="31" t="s">
        <v>69</v>
      </c>
      <c r="M73" s="31">
        <v>2021</v>
      </c>
      <c r="N73" s="31">
        <v>0</v>
      </c>
      <c r="O73" s="31">
        <v>119.97</v>
      </c>
      <c r="P73" s="31"/>
    </row>
    <row r="74" spans="1:16" ht="11.25" customHeight="1" x14ac:dyDescent="0.3">
      <c r="A74" s="31">
        <v>73</v>
      </c>
      <c r="B74" s="31" t="s">
        <v>451</v>
      </c>
      <c r="C74" s="31" t="s">
        <v>42</v>
      </c>
      <c r="D74" s="31" t="s">
        <v>68</v>
      </c>
      <c r="E74" s="31" t="s">
        <v>43</v>
      </c>
      <c r="F74" s="31" t="s">
        <v>25</v>
      </c>
      <c r="G74" s="31" t="s">
        <v>25</v>
      </c>
      <c r="H74" s="31" t="s">
        <v>25</v>
      </c>
      <c r="I74" s="31" t="s">
        <v>38</v>
      </c>
      <c r="J74" s="31" t="s">
        <v>568</v>
      </c>
      <c r="K74" s="31" t="s">
        <v>569</v>
      </c>
      <c r="L74" s="31" t="s">
        <v>69</v>
      </c>
      <c r="M74" s="31">
        <v>2021</v>
      </c>
      <c r="N74" s="31">
        <v>0</v>
      </c>
      <c r="O74" s="31">
        <v>105.58</v>
      </c>
      <c r="P74" s="31"/>
    </row>
    <row r="75" spans="1:16" ht="11.25" customHeight="1" x14ac:dyDescent="0.3">
      <c r="A75" s="31">
        <v>74</v>
      </c>
      <c r="B75" s="31" t="s">
        <v>451</v>
      </c>
      <c r="C75" s="31" t="s">
        <v>33</v>
      </c>
      <c r="D75" s="31" t="s">
        <v>68</v>
      </c>
      <c r="E75" s="31" t="s">
        <v>25</v>
      </c>
      <c r="F75" s="31" t="s">
        <v>25</v>
      </c>
      <c r="G75" s="31" t="s">
        <v>25</v>
      </c>
      <c r="H75" s="31" t="s">
        <v>25</v>
      </c>
      <c r="I75" s="31" t="s">
        <v>37</v>
      </c>
      <c r="J75" s="31" t="s">
        <v>568</v>
      </c>
      <c r="K75" s="31" t="s">
        <v>569</v>
      </c>
      <c r="L75" s="31" t="s">
        <v>69</v>
      </c>
      <c r="M75" s="31">
        <v>2021</v>
      </c>
      <c r="N75" s="31">
        <v>0</v>
      </c>
      <c r="O75" s="31">
        <v>119.97</v>
      </c>
      <c r="P75" s="31"/>
    </row>
    <row r="76" spans="1:16" ht="11.25" customHeight="1" x14ac:dyDescent="0.3">
      <c r="A76" s="31">
        <v>75</v>
      </c>
      <c r="B76" s="31" t="s">
        <v>451</v>
      </c>
      <c r="C76" s="31" t="s">
        <v>42</v>
      </c>
      <c r="D76" s="31" t="s">
        <v>68</v>
      </c>
      <c r="E76" s="31" t="s">
        <v>43</v>
      </c>
      <c r="F76" s="31" t="s">
        <v>85</v>
      </c>
      <c r="G76" s="31" t="s">
        <v>25</v>
      </c>
      <c r="H76" s="31" t="s">
        <v>25</v>
      </c>
      <c r="I76" s="31" t="s">
        <v>40</v>
      </c>
      <c r="J76" s="31" t="s">
        <v>568</v>
      </c>
      <c r="K76" s="31" t="s">
        <v>569</v>
      </c>
      <c r="L76" s="31" t="s">
        <v>69</v>
      </c>
      <c r="M76" s="31">
        <v>2021</v>
      </c>
      <c r="N76" s="31">
        <v>0</v>
      </c>
      <c r="O76" s="31">
        <v>105.58</v>
      </c>
      <c r="P76" s="31"/>
    </row>
    <row r="77" spans="1:16" ht="11.25" customHeight="1" x14ac:dyDescent="0.3">
      <c r="A77" s="31">
        <v>76</v>
      </c>
      <c r="B77" s="31" t="s">
        <v>451</v>
      </c>
      <c r="C77" s="31" t="s">
        <v>33</v>
      </c>
      <c r="D77" s="31" t="s">
        <v>82</v>
      </c>
      <c r="E77" s="31" t="s">
        <v>25</v>
      </c>
      <c r="F77" s="31" t="s">
        <v>25</v>
      </c>
      <c r="G77" s="31" t="s">
        <v>25</v>
      </c>
      <c r="H77" s="31" t="s">
        <v>25</v>
      </c>
      <c r="I77" s="31" t="s">
        <v>25</v>
      </c>
      <c r="J77" s="31" t="s">
        <v>568</v>
      </c>
      <c r="K77" s="31" t="s">
        <v>569</v>
      </c>
      <c r="L77" s="31" t="s">
        <v>69</v>
      </c>
      <c r="M77" s="31">
        <v>2021</v>
      </c>
      <c r="N77" s="31">
        <v>0</v>
      </c>
      <c r="O77" s="31">
        <v>119.97</v>
      </c>
      <c r="P77" s="31"/>
    </row>
    <row r="78" spans="1:16" ht="11.25" customHeight="1" x14ac:dyDescent="0.3">
      <c r="A78" s="31">
        <v>77</v>
      </c>
      <c r="B78" s="31" t="s">
        <v>451</v>
      </c>
      <c r="C78" s="31" t="s">
        <v>33</v>
      </c>
      <c r="D78" s="31" t="s">
        <v>83</v>
      </c>
      <c r="E78" s="31" t="s">
        <v>25</v>
      </c>
      <c r="F78" s="31" t="s">
        <v>25</v>
      </c>
      <c r="G78" s="31" t="s">
        <v>25</v>
      </c>
      <c r="H78" s="31" t="s">
        <v>25</v>
      </c>
      <c r="I78" s="31" t="s">
        <v>25</v>
      </c>
      <c r="J78" s="31" t="s">
        <v>568</v>
      </c>
      <c r="K78" s="31" t="s">
        <v>569</v>
      </c>
      <c r="L78" s="31" t="s">
        <v>69</v>
      </c>
      <c r="M78" s="31">
        <v>2021</v>
      </c>
      <c r="N78" s="31">
        <v>0</v>
      </c>
      <c r="O78" s="31">
        <v>119.97</v>
      </c>
      <c r="P78" s="31"/>
    </row>
    <row r="79" spans="1:16" ht="11.25" customHeight="1" x14ac:dyDescent="0.3">
      <c r="A79" s="31">
        <v>78</v>
      </c>
      <c r="B79" s="31" t="s">
        <v>451</v>
      </c>
      <c r="C79" s="31" t="s">
        <v>42</v>
      </c>
      <c r="D79" s="31" t="s">
        <v>82</v>
      </c>
      <c r="E79" s="31" t="s">
        <v>43</v>
      </c>
      <c r="F79" s="31" t="s">
        <v>85</v>
      </c>
      <c r="G79" s="31" t="s">
        <v>25</v>
      </c>
      <c r="H79" s="31" t="s">
        <v>25</v>
      </c>
      <c r="I79" s="31" t="s">
        <v>25</v>
      </c>
      <c r="J79" s="31" t="s">
        <v>568</v>
      </c>
      <c r="K79" s="31" t="s">
        <v>569</v>
      </c>
      <c r="L79" s="31" t="s">
        <v>69</v>
      </c>
      <c r="M79" s="31">
        <v>2021</v>
      </c>
      <c r="N79" s="31">
        <v>0</v>
      </c>
      <c r="O79" s="31">
        <v>105.58</v>
      </c>
      <c r="P79" s="31"/>
    </row>
    <row r="80" spans="1:16" ht="11.25" customHeight="1" x14ac:dyDescent="0.3">
      <c r="A80" s="31">
        <v>79</v>
      </c>
      <c r="B80" s="31" t="s">
        <v>451</v>
      </c>
      <c r="C80" s="31" t="s">
        <v>22</v>
      </c>
      <c r="D80" s="31" t="s">
        <v>82</v>
      </c>
      <c r="E80" s="31" t="s">
        <v>24</v>
      </c>
      <c r="F80" s="31" t="s">
        <v>32</v>
      </c>
      <c r="G80" s="31" t="s">
        <v>25</v>
      </c>
      <c r="H80" s="31" t="s">
        <v>25</v>
      </c>
      <c r="I80" s="31" t="s">
        <v>25</v>
      </c>
      <c r="J80" s="31" t="s">
        <v>568</v>
      </c>
      <c r="K80" s="31" t="s">
        <v>569</v>
      </c>
      <c r="L80" s="31" t="s">
        <v>69</v>
      </c>
      <c r="M80" s="31">
        <v>2021</v>
      </c>
      <c r="N80" s="31">
        <v>0</v>
      </c>
      <c r="O80" s="31">
        <v>119.97</v>
      </c>
      <c r="P80" s="31"/>
    </row>
    <row r="81" spans="1:16" ht="11.25" customHeight="1" x14ac:dyDescent="0.3">
      <c r="A81" s="31">
        <v>80</v>
      </c>
      <c r="B81" s="31" t="s">
        <v>451</v>
      </c>
      <c r="C81" s="31" t="s">
        <v>42</v>
      </c>
      <c r="D81" s="31" t="s">
        <v>68</v>
      </c>
      <c r="E81" s="31" t="s">
        <v>43</v>
      </c>
      <c r="F81" s="31" t="s">
        <v>25</v>
      </c>
      <c r="G81" s="31" t="s">
        <v>25</v>
      </c>
      <c r="H81" s="31" t="s">
        <v>25</v>
      </c>
      <c r="I81" s="31" t="s">
        <v>40</v>
      </c>
      <c r="J81" s="31" t="s">
        <v>568</v>
      </c>
      <c r="K81" s="31" t="s">
        <v>569</v>
      </c>
      <c r="L81" s="31" t="s">
        <v>69</v>
      </c>
      <c r="M81" s="31">
        <v>2021</v>
      </c>
      <c r="N81" s="31">
        <v>0</v>
      </c>
      <c r="O81" s="31">
        <v>105.58</v>
      </c>
      <c r="P81" s="31"/>
    </row>
    <row r="82" spans="1:16" ht="11.25" customHeight="1" x14ac:dyDescent="0.3">
      <c r="A82" s="31">
        <v>81</v>
      </c>
      <c r="B82" s="31" t="s">
        <v>451</v>
      </c>
      <c r="C82" s="31" t="s">
        <v>45</v>
      </c>
      <c r="D82" s="31" t="s">
        <v>82</v>
      </c>
      <c r="E82" s="31" t="s">
        <v>46</v>
      </c>
      <c r="F82" s="31" t="s">
        <v>87</v>
      </c>
      <c r="G82" s="31" t="s">
        <v>25</v>
      </c>
      <c r="H82" s="31" t="s">
        <v>25</v>
      </c>
      <c r="I82" s="31" t="s">
        <v>25</v>
      </c>
      <c r="J82" s="31" t="s">
        <v>568</v>
      </c>
      <c r="K82" s="31" t="s">
        <v>569</v>
      </c>
      <c r="L82" s="31" t="s">
        <v>69</v>
      </c>
      <c r="M82" s="31">
        <v>2021</v>
      </c>
      <c r="N82" s="31">
        <v>0</v>
      </c>
      <c r="O82" s="31">
        <v>71.98</v>
      </c>
      <c r="P82" s="31"/>
    </row>
    <row r="83" spans="1:16" ht="11.25" customHeight="1" x14ac:dyDescent="0.3">
      <c r="A83" s="31">
        <v>82</v>
      </c>
      <c r="B83" s="31" t="s">
        <v>451</v>
      </c>
      <c r="C83" s="31" t="s">
        <v>45</v>
      </c>
      <c r="D83" s="31" t="s">
        <v>82</v>
      </c>
      <c r="E83" s="31" t="s">
        <v>46</v>
      </c>
      <c r="F83" s="31" t="s">
        <v>47</v>
      </c>
      <c r="G83" s="31" t="s">
        <v>25</v>
      </c>
      <c r="H83" s="31" t="s">
        <v>25</v>
      </c>
      <c r="I83" s="31" t="s">
        <v>25</v>
      </c>
      <c r="J83" s="31" t="s">
        <v>568</v>
      </c>
      <c r="K83" s="31" t="s">
        <v>569</v>
      </c>
      <c r="L83" s="31" t="s">
        <v>69</v>
      </c>
      <c r="M83" s="31">
        <v>2021</v>
      </c>
      <c r="N83" s="31">
        <v>0</v>
      </c>
      <c r="O83" s="31">
        <v>65.989999999999995</v>
      </c>
      <c r="P83" s="31"/>
    </row>
    <row r="84" spans="1:16" ht="11.25" customHeight="1" x14ac:dyDescent="0.3">
      <c r="A84" s="31">
        <v>83</v>
      </c>
      <c r="B84" s="31" t="s">
        <v>451</v>
      </c>
      <c r="C84" s="31" t="s">
        <v>42</v>
      </c>
      <c r="D84" s="31" t="s">
        <v>68</v>
      </c>
      <c r="E84" s="31" t="s">
        <v>43</v>
      </c>
      <c r="F84" s="31" t="s">
        <v>86</v>
      </c>
      <c r="G84" s="31" t="s">
        <v>25</v>
      </c>
      <c r="H84" s="31" t="s">
        <v>25</v>
      </c>
      <c r="I84" s="31" t="s">
        <v>38</v>
      </c>
      <c r="J84" s="31" t="s">
        <v>568</v>
      </c>
      <c r="K84" s="31" t="s">
        <v>569</v>
      </c>
      <c r="L84" s="31" t="s">
        <v>69</v>
      </c>
      <c r="M84" s="31">
        <v>2021</v>
      </c>
      <c r="N84" s="31">
        <v>0</v>
      </c>
      <c r="O84" s="31">
        <v>100.78</v>
      </c>
      <c r="P84" s="31"/>
    </row>
    <row r="85" spans="1:16" ht="11.25" customHeight="1" x14ac:dyDescent="0.3">
      <c r="A85" s="31">
        <v>84</v>
      </c>
      <c r="B85" s="31" t="s">
        <v>451</v>
      </c>
      <c r="C85" s="31" t="s">
        <v>42</v>
      </c>
      <c r="D85" s="31" t="s">
        <v>68</v>
      </c>
      <c r="E85" s="31" t="s">
        <v>43</v>
      </c>
      <c r="F85" s="31" t="s">
        <v>85</v>
      </c>
      <c r="G85" s="31" t="s">
        <v>25</v>
      </c>
      <c r="H85" s="31" t="s">
        <v>25</v>
      </c>
      <c r="I85" s="31" t="s">
        <v>37</v>
      </c>
      <c r="J85" s="31" t="s">
        <v>568</v>
      </c>
      <c r="K85" s="31" t="s">
        <v>569</v>
      </c>
      <c r="L85" s="31" t="s">
        <v>69</v>
      </c>
      <c r="M85" s="31">
        <v>2021</v>
      </c>
      <c r="N85" s="31">
        <v>0</v>
      </c>
      <c r="O85" s="31">
        <v>105.58</v>
      </c>
      <c r="P85" s="3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20BA2-3EC9-42C9-B9D7-AFE84B0B4A5B}">
  <sheetPr codeName="Planilha4"/>
  <dimension ref="A1:AD49"/>
  <sheetViews>
    <sheetView showGridLines="0" workbookViewId="0">
      <selection sqref="A1:W49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20" width="7.88671875" style="9" bestFit="1" customWidth="1"/>
    <col min="21" max="21" width="14.109375" style="9" bestFit="1" customWidth="1"/>
    <col min="22" max="16384" width="9.109375" style="9"/>
  </cols>
  <sheetData>
    <row r="1" spans="1:30" ht="11.25" customHeight="1" x14ac:dyDescent="0.3">
      <c r="A1" s="10" t="s">
        <v>59</v>
      </c>
      <c r="B1" s="10" t="s">
        <v>60</v>
      </c>
      <c r="C1" s="10" t="s">
        <v>61</v>
      </c>
      <c r="D1" s="10" t="s">
        <v>62</v>
      </c>
      <c r="E1" s="10" t="s">
        <v>63</v>
      </c>
      <c r="F1" s="10" t="s">
        <v>64</v>
      </c>
      <c r="G1" s="10" t="s">
        <v>65</v>
      </c>
      <c r="H1" s="10" t="s">
        <v>66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67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73" t="s">
        <v>35</v>
      </c>
      <c r="B2" s="73" t="s">
        <v>50</v>
      </c>
      <c r="C2" s="73" t="s">
        <v>25</v>
      </c>
      <c r="D2" s="73" t="s">
        <v>25</v>
      </c>
      <c r="E2" s="73" t="s">
        <v>25</v>
      </c>
      <c r="F2" s="73" t="s">
        <v>25</v>
      </c>
      <c r="G2" s="13" t="s">
        <v>73</v>
      </c>
      <c r="H2" s="13" t="s">
        <v>72</v>
      </c>
      <c r="I2" s="13">
        <f>SUMIF(Mercado_Receita!$S$2:$S$352,"44440A4AzulNão se aplicaNão se aplicaNão se aplicaNão se aplicaPonta",Mercado_Receita!$J$2:$J$352)+SUMIF(Mercado_Receita!$S$2:$S$352,"44440A4AzulNão se aplicaNão se aplicaAPENão se aplicaPonta",Mercado_Receita!$J$2:$J$352)</f>
        <v>100</v>
      </c>
      <c r="J2" s="13">
        <f>SUMIF(Mercado_Receita!$S$2:$S$352,"44470A4AzulNão se aplicaNão se aplicaNão se aplicaNão se aplicaPonta",Mercado_Receita!$J$2:$J$352)+SUMIF(Mercado_Receita!$S$2:$S$352,"44470A4AzulNão se aplicaNão se aplicaAPENão se aplicaPonta",Mercado_Receita!$J$2:$J$352)</f>
        <v>101</v>
      </c>
      <c r="K2" s="13">
        <f>SUMIF(Mercado_Receita!$S$2:$S$352,"44501A4AzulNão se aplicaNão se aplicaNão se aplicaNão se aplicaPonta",Mercado_Receita!$J$2:$J$352)+SUMIF(Mercado_Receita!$S$2:$S$352,"44501A4AzulNão se aplicaNão se aplicaAPENão se aplicaPonta",Mercado_Receita!$J$2:$J$352)</f>
        <v>0</v>
      </c>
      <c r="L2" s="13">
        <f>SUMIF(Mercado_Receita!$S$2:$S$352,"44531A4AzulNão se aplicaNão se aplicaNão se aplicaNão se aplicaPonta",Mercado_Receita!$J$2:$J$352)+SUMIF(Mercado_Receita!$S$2:$S$352,"44531A4AzulNão se aplicaNão se aplicaAPENão se aplicaPonta",Mercado_Receita!$J$2:$J$352)</f>
        <v>0</v>
      </c>
      <c r="M2" s="13">
        <f>SUMIF(Mercado_Receita!$S$2:$S$352,"44562A4AzulNão se aplicaNão se aplicaNão se aplicaNão se aplicaPonta",Mercado_Receita!$J$2:$J$352)+SUMIF(Mercado_Receita!$S$2:$S$352,"44562A4AzulNão se aplicaNão se aplicaAPENão se aplicaPonta",Mercado_Receita!$J$2:$J$352)</f>
        <v>0</v>
      </c>
      <c r="N2" s="13">
        <f>SUMIF(Mercado_Receita!$S$2:$S$352,"44593A4AzulNão se aplicaNão se aplicaNão se aplicaNão se aplicaPonta",Mercado_Receita!$J$2:$J$352)+SUMIF(Mercado_Receita!$S$2:$S$352,"44593A4AzulNão se aplicaNão se aplicaAPENão se aplicaPonta",Mercado_Receita!$J$2:$J$352)</f>
        <v>0</v>
      </c>
      <c r="O2" s="13">
        <f>SUMIF(Mercado_Receita!$S$2:$S$352,"44621A4AzulNão se aplicaNão se aplicaNão se aplicaNão se aplicaPonta",Mercado_Receita!$J$2:$J$352)+SUMIF(Mercado_Receita!$S$2:$S$352,"44621A4AzulNão se aplicaNão se aplicaAPENão se aplicaPonta",Mercado_Receita!$J$2:$J$352)</f>
        <v>0</v>
      </c>
      <c r="P2" s="13">
        <f>SUMIF(Mercado_Receita!$S$2:$S$352,"44652A4AzulNão se aplicaNão se aplicaNão se aplicaNão se aplicaPonta",Mercado_Receita!$J$2:$J$352)+SUMIF(Mercado_Receita!$S$2:$S$352,"44652A4AzulNão se aplicaNão se aplicaAPENão se aplicaPonta",Mercado_Receita!$J$2:$J$352)</f>
        <v>0</v>
      </c>
      <c r="Q2" s="13">
        <f>SUMIF(Mercado_Receita!$S$2:$S$352,"44682A4AzulNão se aplicaNão se aplicaNão se aplicaNão se aplicaPonta",Mercado_Receita!$J$2:$J$352)+SUMIF(Mercado_Receita!$S$2:$S$352,"44682A4AzulNão se aplicaNão se aplicaAPENão se aplicaPonta",Mercado_Receita!$J$2:$J$352)</f>
        <v>0</v>
      </c>
      <c r="R2" s="13">
        <f>SUMIF(Mercado_Receita!$S$2:$S$352,"44713A4AzulNão se aplicaNão se aplicaNão se aplicaNão se aplicaPonta",Mercado_Receita!$J$2:$J$352)+SUMIF(Mercado_Receita!$S$2:$S$352,"44713A4AzulNão se aplicaNão se aplicaAPENão se aplicaPonta",Mercado_Receita!$J$2:$J$352)</f>
        <v>0</v>
      </c>
      <c r="S2" s="13">
        <f>SUMIF(Mercado_Receita!$S$2:$S$352,"44743A4AzulNão se aplicaNão se aplicaNão se aplicaNão se aplicaPonta",Mercado_Receita!$J$2:$J$352)+SUMIF(Mercado_Receita!$S$2:$S$352,"44743A4AzulNão se aplicaNão se aplicaAPENão se aplicaPonta",Mercado_Receita!$J$2:$J$352)</f>
        <v>0</v>
      </c>
      <c r="T2" s="13">
        <f>SUMIF(Mercado_Receita!$S$2:$S$352,"44774A4AzulNão se aplicaNão se aplicaNão se aplicaNão se aplicaPonta",Mercado_Receita!$J$2:$J$352)+SUMIF(Mercado_Receita!$S$2:$S$352,"44774A4AzulNão se aplicaNão se aplicaAPENão se aplicaPonta",Mercado_Receita!$J$2:$J$352)</f>
        <v>0</v>
      </c>
      <c r="U2" s="13">
        <f t="shared" ref="U2:U48" si="0">SUM(I2:T2)</f>
        <v>201</v>
      </c>
      <c r="V2" s="13"/>
      <c r="W2" s="13"/>
    </row>
    <row r="3" spans="1:30" ht="11.25" customHeight="1" x14ac:dyDescent="0.3">
      <c r="A3" s="74"/>
      <c r="B3" s="74"/>
      <c r="C3" s="74"/>
      <c r="D3" s="74"/>
      <c r="E3" s="74"/>
      <c r="F3" s="74"/>
      <c r="G3" s="13" t="s">
        <v>74</v>
      </c>
      <c r="H3" s="13" t="s">
        <v>72</v>
      </c>
      <c r="I3" s="13">
        <f>SUMIF(Mercado_Receita!$S$2:$S$352,"44440A4AzulNão se aplicaNão se aplicaNão se aplicaNão se aplicaFora ponta",Mercado_Receita!$J$2:$J$352)+SUMIF(Mercado_Receita!$S$2:$S$352,"44440A4AzulNão se aplicaNão se aplicaAPENão se aplicaFora ponta",Mercado_Receita!$J$2:$J$352)</f>
        <v>100</v>
      </c>
      <c r="J3" s="13">
        <f>SUMIF(Mercado_Receita!$S$2:$S$352,"44470A4AzulNão se aplicaNão se aplicaNão se aplicaNão se aplicaFora ponta",Mercado_Receita!$J$2:$J$352)+SUMIF(Mercado_Receita!$S$2:$S$352,"44470A4AzulNão se aplicaNão se aplicaAPENão se aplicaFora ponta",Mercado_Receita!$J$2:$J$352)</f>
        <v>101</v>
      </c>
      <c r="K3" s="13">
        <f>SUMIF(Mercado_Receita!$S$2:$S$352,"44501A4AzulNão se aplicaNão se aplicaNão se aplicaNão se aplicaFora ponta",Mercado_Receita!$J$2:$J$352)+SUMIF(Mercado_Receita!$S$2:$S$352,"44501A4AzulNão se aplicaNão se aplicaAPENão se aplicaFora ponta",Mercado_Receita!$J$2:$J$352)</f>
        <v>0</v>
      </c>
      <c r="L3" s="13">
        <f>SUMIF(Mercado_Receita!$S$2:$S$352,"44531A4AzulNão se aplicaNão se aplicaNão se aplicaNão se aplicaFora ponta",Mercado_Receita!$J$2:$J$352)+SUMIF(Mercado_Receita!$S$2:$S$352,"44531A4AzulNão se aplicaNão se aplicaAPENão se aplicaFora ponta",Mercado_Receita!$J$2:$J$352)</f>
        <v>0</v>
      </c>
      <c r="M3" s="13">
        <f>SUMIF(Mercado_Receita!$S$2:$S$352,"44562A4AzulNão se aplicaNão se aplicaNão se aplicaNão se aplicaFora ponta",Mercado_Receita!$J$2:$J$352)+SUMIF(Mercado_Receita!$S$2:$S$352,"44562A4AzulNão se aplicaNão se aplicaAPENão se aplicaFora ponta",Mercado_Receita!$J$2:$J$352)</f>
        <v>0</v>
      </c>
      <c r="N3" s="13">
        <f>SUMIF(Mercado_Receita!$S$2:$S$352,"44593A4AzulNão se aplicaNão se aplicaNão se aplicaNão se aplicaFora ponta",Mercado_Receita!$J$2:$J$352)+SUMIF(Mercado_Receita!$S$2:$S$352,"44593A4AzulNão se aplicaNão se aplicaAPENão se aplicaFora ponta",Mercado_Receita!$J$2:$J$352)</f>
        <v>0</v>
      </c>
      <c r="O3" s="13">
        <f>SUMIF(Mercado_Receita!$S$2:$S$352,"44621A4AzulNão se aplicaNão se aplicaNão se aplicaNão se aplicaFora ponta",Mercado_Receita!$J$2:$J$352)+SUMIF(Mercado_Receita!$S$2:$S$352,"44621A4AzulNão se aplicaNão se aplicaAPENão se aplicaFora ponta",Mercado_Receita!$J$2:$J$352)</f>
        <v>0</v>
      </c>
      <c r="P3" s="13">
        <f>SUMIF(Mercado_Receita!$S$2:$S$352,"44652A4AzulNão se aplicaNão se aplicaNão se aplicaNão se aplicaFora ponta",Mercado_Receita!$J$2:$J$352)+SUMIF(Mercado_Receita!$S$2:$S$352,"44652A4AzulNão se aplicaNão se aplicaAPENão se aplicaFora ponta",Mercado_Receita!$J$2:$J$352)</f>
        <v>0</v>
      </c>
      <c r="Q3" s="13">
        <f>SUMIF(Mercado_Receita!$S$2:$S$352,"44682A4AzulNão se aplicaNão se aplicaNão se aplicaNão se aplicaFora ponta",Mercado_Receita!$J$2:$J$352)+SUMIF(Mercado_Receita!$S$2:$S$352,"44682A4AzulNão se aplicaNão se aplicaAPENão se aplicaFora ponta",Mercado_Receita!$J$2:$J$352)</f>
        <v>0</v>
      </c>
      <c r="R3" s="13">
        <f>SUMIF(Mercado_Receita!$S$2:$S$352,"44713A4AzulNão se aplicaNão se aplicaNão se aplicaNão se aplicaFora ponta",Mercado_Receita!$J$2:$J$352)+SUMIF(Mercado_Receita!$S$2:$S$352,"44713A4AzulNão se aplicaNão se aplicaAPENão se aplicaFora ponta",Mercado_Receita!$J$2:$J$352)</f>
        <v>0</v>
      </c>
      <c r="S3" s="13">
        <f>SUMIF(Mercado_Receita!$S$2:$S$352,"44743A4AzulNão se aplicaNão se aplicaNão se aplicaNão se aplicaFora ponta",Mercado_Receita!$J$2:$J$352)+SUMIF(Mercado_Receita!$S$2:$S$352,"44743A4AzulNão se aplicaNão se aplicaAPENão se aplicaFora ponta",Mercado_Receita!$J$2:$J$352)</f>
        <v>0</v>
      </c>
      <c r="T3" s="13">
        <f>SUMIF(Mercado_Receita!$S$2:$S$352,"44774A4AzulNão se aplicaNão se aplicaNão se aplicaNão se aplicaFora ponta",Mercado_Receita!$J$2:$J$352)+SUMIF(Mercado_Receita!$S$2:$S$352,"44774A4AzulNão se aplicaNão se aplicaAPENão se aplicaFora ponta",Mercado_Receita!$J$2:$J$352)</f>
        <v>0</v>
      </c>
      <c r="U3" s="13">
        <f t="shared" si="0"/>
        <v>201</v>
      </c>
      <c r="V3" s="13"/>
      <c r="W3" s="13"/>
    </row>
    <row r="4" spans="1:30" ht="11.25" customHeight="1" x14ac:dyDescent="0.3">
      <c r="A4" s="74"/>
      <c r="B4" s="74"/>
      <c r="C4" s="74"/>
      <c r="D4" s="74"/>
      <c r="E4" s="74"/>
      <c r="F4" s="74"/>
      <c r="G4" s="13" t="s">
        <v>75</v>
      </c>
      <c r="H4" s="13" t="s">
        <v>69</v>
      </c>
      <c r="I4" s="13">
        <f>SUMIF(Mercado_Receita!$S$2:$S$352,"44440A4AzulNão se aplicaNão se aplicaNão se aplicaNão se aplicaPonta",Mercado_Receita!$L$2:$L$352)+SUMIF(Mercado_Receita!$S$2:$S$352,"44440A4AzulNão se aplicaNão se aplicaNão se aplicaNão se aplicaFora ponta",Mercado_Receita!$L$2:$L$352)+SUMIF(Mercado_Receita!$S$2:$S$352,"44440A4AzulNão se aplicaNão se aplicaNão se aplicaNão se aplicaIntermediário",Mercado_Receita!$L$2:$L$352)+SUMIF(Mercado_Receita!$S$2:$S$352,"44440A4AzulNão se aplicaNão se aplicaNão se aplicaNão se aplicaNão se aplica",Mercado_Receita!$L$2:$L$352)</f>
        <v>45.137999999999998</v>
      </c>
      <c r="J4" s="13">
        <f>SUMIF(Mercado_Receita!$S$2:$S$352,"44470A4AzulNão se aplicaNão se aplicaNão se aplicaNão se aplicaPonta",Mercado_Receita!$L$2:$L$352)+SUMIF(Mercado_Receita!$S$2:$S$352,"44470A4AzulNão se aplicaNão se aplicaNão se aplicaNão se aplicaFora ponta",Mercado_Receita!$L$2:$L$352)+SUMIF(Mercado_Receita!$S$2:$S$352,"44470A4AzulNão se aplicaNão se aplicaNão se aplicaNão se aplicaIntermediário",Mercado_Receita!$L$2:$L$352)+SUMIF(Mercado_Receita!$S$2:$S$352,"44470A4AzulNão se aplicaNão se aplicaNão se aplicaNão se aplicaNão se aplica",Mercado_Receita!$L$2:$L$352)</f>
        <v>44.414999999999999</v>
      </c>
      <c r="K4" s="13">
        <f>SUMIF(Mercado_Receita!$S$2:$S$352,"44501A4AzulNão se aplicaNão se aplicaNão se aplicaNão se aplicaPonta",Mercado_Receita!$L$2:$L$352)+SUMIF(Mercado_Receita!$S$2:$S$352,"44501A4AzulNão se aplicaNão se aplicaNão se aplicaNão se aplicaFora ponta",Mercado_Receita!$L$2:$L$352)+SUMIF(Mercado_Receita!$S$2:$S$352,"44501A4AzulNão se aplicaNão se aplicaNão se aplicaNão se aplicaIntermediário",Mercado_Receita!$L$2:$L$352)+SUMIF(Mercado_Receita!$S$2:$S$352,"44501A4AzulNão se aplicaNão se aplicaNão se aplicaNão se aplicaNão se aplica",Mercado_Receita!$L$2:$L$352)</f>
        <v>0</v>
      </c>
      <c r="L4" s="13">
        <f>SUMIF(Mercado_Receita!$S$2:$S$352,"44531A4AzulNão se aplicaNão se aplicaNão se aplicaNão se aplicaPonta",Mercado_Receita!$L$2:$L$352)+SUMIF(Mercado_Receita!$S$2:$S$352,"44531A4AzulNão se aplicaNão se aplicaNão se aplicaNão se aplicaFora ponta",Mercado_Receita!$L$2:$L$352)+SUMIF(Mercado_Receita!$S$2:$S$352,"44531A4AzulNão se aplicaNão se aplicaNão se aplicaNão se aplicaIntermediário",Mercado_Receita!$L$2:$L$352)+SUMIF(Mercado_Receita!$S$2:$S$352,"44531A4AzulNão se aplicaNão se aplicaNão se aplicaNão se aplicaNão se aplica",Mercado_Receita!$L$2:$L$352)</f>
        <v>0</v>
      </c>
      <c r="M4" s="13">
        <f>SUMIF(Mercado_Receita!$S$2:$S$352,"44562A4AzulNão se aplicaNão se aplicaNão se aplicaNão se aplicaPonta",Mercado_Receita!$L$2:$L$352)+SUMIF(Mercado_Receita!$S$2:$S$352,"44562A4AzulNão se aplicaNão se aplicaNão se aplicaNão se aplicaFora ponta",Mercado_Receita!$L$2:$L$352)+SUMIF(Mercado_Receita!$S$2:$S$352,"44562A4AzulNão se aplicaNão se aplicaNão se aplicaNão se aplicaIntermediário",Mercado_Receita!$L$2:$L$352)+SUMIF(Mercado_Receita!$S$2:$S$352,"44562A4AzulNão se aplicaNão se aplicaNão se aplicaNão se aplicaNão se aplica",Mercado_Receita!$L$2:$L$352)</f>
        <v>0</v>
      </c>
      <c r="N4" s="13">
        <f>SUMIF(Mercado_Receita!$S$2:$S$352,"44593A4AzulNão se aplicaNão se aplicaNão se aplicaNão se aplicaPonta",Mercado_Receita!$L$2:$L$352)+SUMIF(Mercado_Receita!$S$2:$S$352,"44593A4AzulNão se aplicaNão se aplicaNão se aplicaNão se aplicaFora ponta",Mercado_Receita!$L$2:$L$352)+SUMIF(Mercado_Receita!$S$2:$S$352,"44593A4AzulNão se aplicaNão se aplicaNão se aplicaNão se aplicaIntermediário",Mercado_Receita!$L$2:$L$352)+SUMIF(Mercado_Receita!$S$2:$S$352,"44593A4AzulNão se aplicaNão se aplicaNão se aplicaNão se aplicaNão se aplica",Mercado_Receita!$L$2:$L$352)</f>
        <v>0</v>
      </c>
      <c r="O4" s="13">
        <f>SUMIF(Mercado_Receita!$S$2:$S$352,"44621A4AzulNão se aplicaNão se aplicaNão se aplicaNão se aplicaPonta",Mercado_Receita!$L$2:$L$352)+SUMIF(Mercado_Receita!$S$2:$S$352,"44621A4AzulNão se aplicaNão se aplicaNão se aplicaNão se aplicaFora ponta",Mercado_Receita!$L$2:$L$352)+SUMIF(Mercado_Receita!$S$2:$S$352,"44621A4AzulNão se aplicaNão se aplicaNão se aplicaNão se aplicaIntermediário",Mercado_Receita!$L$2:$L$352)+SUMIF(Mercado_Receita!$S$2:$S$352,"44621A4AzulNão se aplicaNão se aplicaNão se aplicaNão se aplicaNão se aplica",Mercado_Receita!$L$2:$L$352)</f>
        <v>0</v>
      </c>
      <c r="P4" s="13">
        <f>SUMIF(Mercado_Receita!$S$2:$S$352,"44652A4AzulNão se aplicaNão se aplicaNão se aplicaNão se aplicaPonta",Mercado_Receita!$L$2:$L$352)+SUMIF(Mercado_Receita!$S$2:$S$352,"44652A4AzulNão se aplicaNão se aplicaNão se aplicaNão se aplicaFora ponta",Mercado_Receita!$L$2:$L$352)+SUMIF(Mercado_Receita!$S$2:$S$352,"44652A4AzulNão se aplicaNão se aplicaNão se aplicaNão se aplicaIntermediário",Mercado_Receita!$L$2:$L$352)+SUMIF(Mercado_Receita!$S$2:$S$352,"44652A4AzulNão se aplicaNão se aplicaNão se aplicaNão se aplicaNão se aplica",Mercado_Receita!$L$2:$L$352)</f>
        <v>0</v>
      </c>
      <c r="Q4" s="13">
        <f>SUMIF(Mercado_Receita!$S$2:$S$352,"44682A4AzulNão se aplicaNão se aplicaNão se aplicaNão se aplicaPonta",Mercado_Receita!$L$2:$L$352)+SUMIF(Mercado_Receita!$S$2:$S$352,"44682A4AzulNão se aplicaNão se aplicaNão se aplicaNão se aplicaFora ponta",Mercado_Receita!$L$2:$L$352)+SUMIF(Mercado_Receita!$S$2:$S$352,"44682A4AzulNão se aplicaNão se aplicaNão se aplicaNão se aplicaIntermediário",Mercado_Receita!$L$2:$L$352)+SUMIF(Mercado_Receita!$S$2:$S$352,"44682A4AzulNão se aplicaNão se aplicaNão se aplicaNão se aplicaNão se aplica",Mercado_Receita!$L$2:$L$352)</f>
        <v>0</v>
      </c>
      <c r="R4" s="13">
        <f>SUMIF(Mercado_Receita!$S$2:$S$352,"44713A4AzulNão se aplicaNão se aplicaNão se aplicaNão se aplicaPonta",Mercado_Receita!$L$2:$L$352)+SUMIF(Mercado_Receita!$S$2:$S$352,"44713A4AzulNão se aplicaNão se aplicaNão se aplicaNão se aplicaFora ponta",Mercado_Receita!$L$2:$L$352)+SUMIF(Mercado_Receita!$S$2:$S$352,"44713A4AzulNão se aplicaNão se aplicaNão se aplicaNão se aplicaIntermediário",Mercado_Receita!$L$2:$L$352)+SUMIF(Mercado_Receita!$S$2:$S$352,"44713A4AzulNão se aplicaNão se aplicaNão se aplicaNão se aplicaNão se aplica",Mercado_Receita!$L$2:$L$352)</f>
        <v>0</v>
      </c>
      <c r="S4" s="13">
        <f>SUMIF(Mercado_Receita!$S$2:$S$352,"44743A4AzulNão se aplicaNão se aplicaNão se aplicaNão se aplicaPonta",Mercado_Receita!$L$2:$L$352)+SUMIF(Mercado_Receita!$S$2:$S$352,"44743A4AzulNão se aplicaNão se aplicaNão se aplicaNão se aplicaFora ponta",Mercado_Receita!$L$2:$L$352)+SUMIF(Mercado_Receita!$S$2:$S$352,"44743A4AzulNão se aplicaNão se aplicaNão se aplicaNão se aplicaIntermediário",Mercado_Receita!$L$2:$L$352)+SUMIF(Mercado_Receita!$S$2:$S$352,"44743A4AzulNão se aplicaNão se aplicaNão se aplicaNão se aplicaNão se aplica",Mercado_Receita!$L$2:$L$352)</f>
        <v>0</v>
      </c>
      <c r="T4" s="13">
        <f>SUMIF(Mercado_Receita!$S$2:$S$352,"44774A4AzulNão se aplicaNão se aplicaNão se aplicaNão se aplicaPonta",Mercado_Receita!$L$2:$L$352)+SUMIF(Mercado_Receita!$S$2:$S$352,"44774A4AzulNão se aplicaNão se aplicaNão se aplicaNão se aplicaFora ponta",Mercado_Receita!$L$2:$L$352)+SUMIF(Mercado_Receita!$S$2:$S$352,"44774A4AzulNão se aplicaNão se aplicaNão se aplicaNão se aplicaIntermediário",Mercado_Receita!$L$2:$L$352)+SUMIF(Mercado_Receita!$S$2:$S$352,"44774A4AzulNão se aplicaNão se aplicaNão se aplicaNão se aplicaNão se aplica",Mercado_Receita!$L$2:$L$352)</f>
        <v>0</v>
      </c>
      <c r="U4" s="13">
        <f t="shared" si="0"/>
        <v>89.552999999999997</v>
      </c>
      <c r="V4" s="13"/>
      <c r="W4" s="13"/>
    </row>
    <row r="5" spans="1:30" ht="11.25" customHeight="1" x14ac:dyDescent="0.3">
      <c r="A5" s="74"/>
      <c r="B5" s="74"/>
      <c r="C5" s="74"/>
      <c r="D5" s="74"/>
      <c r="E5" s="12" t="s">
        <v>76</v>
      </c>
      <c r="F5" s="12" t="s">
        <v>25</v>
      </c>
      <c r="G5" s="13" t="s">
        <v>75</v>
      </c>
      <c r="H5" s="13" t="s">
        <v>69</v>
      </c>
      <c r="I5" s="13">
        <f>SUMIF(Mercado_Receita!$S$2:$S$352,"44440A4AzulNão se aplicaNão se aplicaAPENão se aplicaPonta",Mercado_Receita!$L$2:$L$352)+SUMIF(Mercado_Receita!$S$2:$S$352,"44440A4AzulNão se aplicaNão se aplicaAPENão se aplicaFora ponta",Mercado_Receita!$L$2:$L$352)+SUMIF(Mercado_Receita!$S$2:$S$352,"44440A4AzulNão se aplicaNão se aplicaAPENão se aplicaIntermediário",Mercado_Receita!$L$2:$L$352)+SUMIF(Mercado_Receita!$S$2:$S$352,"44440A4AzulNão se aplicaNão se aplicaAPENão se aplicaNão se aplica",Mercado_Receita!$L$2:$L$352)</f>
        <v>0</v>
      </c>
      <c r="J5" s="13">
        <f>SUMIF(Mercado_Receita!$S$2:$S$352,"44470A4AzulNão se aplicaNão se aplicaAPENão se aplicaPonta",Mercado_Receita!$L$2:$L$352)+SUMIF(Mercado_Receita!$S$2:$S$352,"44470A4AzulNão se aplicaNão se aplicaAPENão se aplicaFora ponta",Mercado_Receita!$L$2:$L$352)+SUMIF(Mercado_Receita!$S$2:$S$352,"44470A4AzulNão se aplicaNão se aplicaAPENão se aplicaIntermediário",Mercado_Receita!$L$2:$L$352)+SUMIF(Mercado_Receita!$S$2:$S$352,"44470A4AzulNão se aplicaNão se aplicaAPENão se aplicaNão se aplica",Mercado_Receita!$L$2:$L$352)</f>
        <v>0</v>
      </c>
      <c r="K5" s="13">
        <f>SUMIF(Mercado_Receita!$S$2:$S$352,"44501A4AzulNão se aplicaNão se aplicaAPENão se aplicaPonta",Mercado_Receita!$L$2:$L$352)+SUMIF(Mercado_Receita!$S$2:$S$352,"44501A4AzulNão se aplicaNão se aplicaAPENão se aplicaFora ponta",Mercado_Receita!$L$2:$L$352)+SUMIF(Mercado_Receita!$S$2:$S$352,"44501A4AzulNão se aplicaNão se aplicaAPENão se aplicaIntermediário",Mercado_Receita!$L$2:$L$352)+SUMIF(Mercado_Receita!$S$2:$S$352,"44501A4AzulNão se aplicaNão se aplicaAPENão se aplicaNão se aplica",Mercado_Receita!$L$2:$L$352)</f>
        <v>0</v>
      </c>
      <c r="L5" s="13">
        <f>SUMIF(Mercado_Receita!$S$2:$S$352,"44531A4AzulNão se aplicaNão se aplicaAPENão se aplicaPonta",Mercado_Receita!$L$2:$L$352)+SUMIF(Mercado_Receita!$S$2:$S$352,"44531A4AzulNão se aplicaNão se aplicaAPENão se aplicaFora ponta",Mercado_Receita!$L$2:$L$352)+SUMIF(Mercado_Receita!$S$2:$S$352,"44531A4AzulNão se aplicaNão se aplicaAPENão se aplicaIntermediário",Mercado_Receita!$L$2:$L$352)+SUMIF(Mercado_Receita!$S$2:$S$352,"44531A4AzulNão se aplicaNão se aplicaAPENão se aplicaNão se aplica",Mercado_Receita!$L$2:$L$352)</f>
        <v>0</v>
      </c>
      <c r="M5" s="13">
        <f>SUMIF(Mercado_Receita!$S$2:$S$352,"44562A4AzulNão se aplicaNão se aplicaAPENão se aplicaPonta",Mercado_Receita!$L$2:$L$352)+SUMIF(Mercado_Receita!$S$2:$S$352,"44562A4AzulNão se aplicaNão se aplicaAPENão se aplicaFora ponta",Mercado_Receita!$L$2:$L$352)+SUMIF(Mercado_Receita!$S$2:$S$352,"44562A4AzulNão se aplicaNão se aplicaAPENão se aplicaIntermediário",Mercado_Receita!$L$2:$L$352)+SUMIF(Mercado_Receita!$S$2:$S$352,"44562A4AzulNão se aplicaNão se aplicaAPENão se aplicaNão se aplica",Mercado_Receita!$L$2:$L$352)</f>
        <v>0</v>
      </c>
      <c r="N5" s="13">
        <f>SUMIF(Mercado_Receita!$S$2:$S$352,"44593A4AzulNão se aplicaNão se aplicaAPENão se aplicaPonta",Mercado_Receita!$L$2:$L$352)+SUMIF(Mercado_Receita!$S$2:$S$352,"44593A4AzulNão se aplicaNão se aplicaAPENão se aplicaFora ponta",Mercado_Receita!$L$2:$L$352)+SUMIF(Mercado_Receita!$S$2:$S$352,"44593A4AzulNão se aplicaNão se aplicaAPENão se aplicaIntermediário",Mercado_Receita!$L$2:$L$352)+SUMIF(Mercado_Receita!$S$2:$S$352,"44593A4AzulNão se aplicaNão se aplicaAPENão se aplicaNão se aplica",Mercado_Receita!$L$2:$L$352)</f>
        <v>0</v>
      </c>
      <c r="O5" s="13">
        <f>SUMIF(Mercado_Receita!$S$2:$S$352,"44621A4AzulNão se aplicaNão se aplicaAPENão se aplicaPonta",Mercado_Receita!$L$2:$L$352)+SUMIF(Mercado_Receita!$S$2:$S$352,"44621A4AzulNão se aplicaNão se aplicaAPENão se aplicaFora ponta",Mercado_Receita!$L$2:$L$352)+SUMIF(Mercado_Receita!$S$2:$S$352,"44621A4AzulNão se aplicaNão se aplicaAPENão se aplicaIntermediário",Mercado_Receita!$L$2:$L$352)+SUMIF(Mercado_Receita!$S$2:$S$352,"44621A4AzulNão se aplicaNão se aplicaAPENão se aplicaNão se aplica",Mercado_Receita!$L$2:$L$352)</f>
        <v>0</v>
      </c>
      <c r="P5" s="13">
        <f>SUMIF(Mercado_Receita!$S$2:$S$352,"44652A4AzulNão se aplicaNão se aplicaAPENão se aplicaPonta",Mercado_Receita!$L$2:$L$352)+SUMIF(Mercado_Receita!$S$2:$S$352,"44652A4AzulNão se aplicaNão se aplicaAPENão se aplicaFora ponta",Mercado_Receita!$L$2:$L$352)+SUMIF(Mercado_Receita!$S$2:$S$352,"44652A4AzulNão se aplicaNão se aplicaAPENão se aplicaIntermediário",Mercado_Receita!$L$2:$L$352)+SUMIF(Mercado_Receita!$S$2:$S$352,"44652A4AzulNão se aplicaNão se aplicaAPENão se aplicaNão se aplica",Mercado_Receita!$L$2:$L$352)</f>
        <v>0</v>
      </c>
      <c r="Q5" s="13">
        <f>SUMIF(Mercado_Receita!$S$2:$S$352,"44682A4AzulNão se aplicaNão se aplicaAPENão se aplicaPonta",Mercado_Receita!$L$2:$L$352)+SUMIF(Mercado_Receita!$S$2:$S$352,"44682A4AzulNão se aplicaNão se aplicaAPENão se aplicaFora ponta",Mercado_Receita!$L$2:$L$352)+SUMIF(Mercado_Receita!$S$2:$S$352,"44682A4AzulNão se aplicaNão se aplicaAPENão se aplicaIntermediário",Mercado_Receita!$L$2:$L$352)+SUMIF(Mercado_Receita!$S$2:$S$352,"44682A4AzulNão se aplicaNão se aplicaAPENão se aplicaNão se aplica",Mercado_Receita!$L$2:$L$352)</f>
        <v>0</v>
      </c>
      <c r="R5" s="13">
        <f>SUMIF(Mercado_Receita!$S$2:$S$352,"44713A4AzulNão se aplicaNão se aplicaAPENão se aplicaPonta",Mercado_Receita!$L$2:$L$352)+SUMIF(Mercado_Receita!$S$2:$S$352,"44713A4AzulNão se aplicaNão se aplicaAPENão se aplicaFora ponta",Mercado_Receita!$L$2:$L$352)+SUMIF(Mercado_Receita!$S$2:$S$352,"44713A4AzulNão se aplicaNão se aplicaAPENão se aplicaIntermediário",Mercado_Receita!$L$2:$L$352)+SUMIF(Mercado_Receita!$S$2:$S$352,"44713A4AzulNão se aplicaNão se aplicaAPENão se aplicaNão se aplica",Mercado_Receita!$L$2:$L$352)</f>
        <v>0</v>
      </c>
      <c r="S5" s="13">
        <f>SUMIF(Mercado_Receita!$S$2:$S$352,"44743A4AzulNão se aplicaNão se aplicaAPENão se aplicaPonta",Mercado_Receita!$L$2:$L$352)+SUMIF(Mercado_Receita!$S$2:$S$352,"44743A4AzulNão se aplicaNão se aplicaAPENão se aplicaFora ponta",Mercado_Receita!$L$2:$L$352)+SUMIF(Mercado_Receita!$S$2:$S$352,"44743A4AzulNão se aplicaNão se aplicaAPENão se aplicaIntermediário",Mercado_Receita!$L$2:$L$352)+SUMIF(Mercado_Receita!$S$2:$S$352,"44743A4AzulNão se aplicaNão se aplicaAPENão se aplicaNão se aplica",Mercado_Receita!$L$2:$L$352)</f>
        <v>0</v>
      </c>
      <c r="T5" s="13">
        <f>SUMIF(Mercado_Receita!$S$2:$S$352,"44774A4AzulNão se aplicaNão se aplicaAPENão se aplicaPonta",Mercado_Receita!$L$2:$L$352)+SUMIF(Mercado_Receita!$S$2:$S$352,"44774A4AzulNão se aplicaNão se aplicaAPENão se aplicaFora ponta",Mercado_Receita!$L$2:$L$352)+SUMIF(Mercado_Receita!$S$2:$S$352,"44774A4AzulNão se aplicaNão se aplicaAPENão se aplicaIntermediário",Mercado_Receita!$L$2:$L$352)+SUMIF(Mercado_Receita!$S$2:$S$352,"44774A4AzulNão se aplicaNão se aplicaAPENão se aplicaNão se aplica",Mercado_Receita!$L$2:$L$352)</f>
        <v>0</v>
      </c>
      <c r="U5" s="13">
        <f t="shared" si="0"/>
        <v>0</v>
      </c>
      <c r="V5" s="13"/>
      <c r="W5" s="13"/>
    </row>
    <row r="6" spans="1:30" ht="11.25" customHeight="1" x14ac:dyDescent="0.3">
      <c r="A6" s="74"/>
      <c r="B6" s="12" t="s">
        <v>77</v>
      </c>
      <c r="C6" s="12" t="s">
        <v>25</v>
      </c>
      <c r="D6" s="12" t="s">
        <v>25</v>
      </c>
      <c r="E6" s="12" t="s">
        <v>25</v>
      </c>
      <c r="F6" s="12" t="s">
        <v>25</v>
      </c>
      <c r="G6" s="13" t="s">
        <v>9</v>
      </c>
      <c r="H6" s="13" t="s">
        <v>72</v>
      </c>
      <c r="I6" s="13">
        <f>SUMIF(Mercado_Receita!$S$2:$S$352,"44440A4GeraçãoNão se aplicaNão se aplicaNão se aplicaNão se aplicaNão se aplica",Mercado_Receita!$J$2:$J$352)+SUMIF(Mercado_Receita!$S$2:$S$352,"44440A4GeraçãoNão se aplicaNão se aplicaAPENão se aplicaNão se aplica",Mercado_Receita!$J$2:$J$352)</f>
        <v>0</v>
      </c>
      <c r="J6" s="13">
        <f>SUMIF(Mercado_Receita!$S$2:$S$352,"44470A4GeraçãoNão se aplicaNão se aplicaNão se aplicaNão se aplicaNão se aplica",Mercado_Receita!$J$2:$J$352)+SUMIF(Mercado_Receita!$S$2:$S$352,"44470A4GeraçãoNão se aplicaNão se aplicaAPENão se aplicaNão se aplica",Mercado_Receita!$J$2:$J$352)</f>
        <v>0</v>
      </c>
      <c r="K6" s="13">
        <f>SUMIF(Mercado_Receita!$S$2:$S$352,"44501A4GeraçãoNão se aplicaNão se aplicaNão se aplicaNão se aplicaNão se aplica",Mercado_Receita!$J$2:$J$352)+SUMIF(Mercado_Receita!$S$2:$S$352,"44501A4GeraçãoNão se aplicaNão se aplicaAPENão se aplicaNão se aplica",Mercado_Receita!$J$2:$J$352)</f>
        <v>0</v>
      </c>
      <c r="L6" s="13">
        <f>SUMIF(Mercado_Receita!$S$2:$S$352,"44531A4GeraçãoNão se aplicaNão se aplicaNão se aplicaNão se aplicaNão se aplica",Mercado_Receita!$J$2:$J$352)+SUMIF(Mercado_Receita!$S$2:$S$352,"44531A4GeraçãoNão se aplicaNão se aplicaAPENão se aplicaNão se aplica",Mercado_Receita!$J$2:$J$352)</f>
        <v>0</v>
      </c>
      <c r="M6" s="13">
        <f>SUMIF(Mercado_Receita!$S$2:$S$352,"44562A4GeraçãoNão se aplicaNão se aplicaNão se aplicaNão se aplicaNão se aplica",Mercado_Receita!$J$2:$J$352)+SUMIF(Mercado_Receita!$S$2:$S$352,"44562A4GeraçãoNão se aplicaNão se aplicaAPENão se aplicaNão se aplica",Mercado_Receita!$J$2:$J$352)</f>
        <v>0</v>
      </c>
      <c r="N6" s="13">
        <f>SUMIF(Mercado_Receita!$S$2:$S$352,"44593A4GeraçãoNão se aplicaNão se aplicaNão se aplicaNão se aplicaNão se aplica",Mercado_Receita!$J$2:$J$352)+SUMIF(Mercado_Receita!$S$2:$S$352,"44593A4GeraçãoNão se aplicaNão se aplicaAPENão se aplicaNão se aplica",Mercado_Receita!$J$2:$J$352)</f>
        <v>0</v>
      </c>
      <c r="O6" s="13">
        <f>SUMIF(Mercado_Receita!$S$2:$S$352,"44621A4GeraçãoNão se aplicaNão se aplicaNão se aplicaNão se aplicaNão se aplica",Mercado_Receita!$J$2:$J$352)+SUMIF(Mercado_Receita!$S$2:$S$352,"44621A4GeraçãoNão se aplicaNão se aplicaAPENão se aplicaNão se aplica",Mercado_Receita!$J$2:$J$352)</f>
        <v>0</v>
      </c>
      <c r="P6" s="13">
        <f>SUMIF(Mercado_Receita!$S$2:$S$352,"44652A4GeraçãoNão se aplicaNão se aplicaNão se aplicaNão se aplicaNão se aplica",Mercado_Receita!$J$2:$J$352)+SUMIF(Mercado_Receita!$S$2:$S$352,"44652A4GeraçãoNão se aplicaNão se aplicaAPENão se aplicaNão se aplica",Mercado_Receita!$J$2:$J$352)</f>
        <v>0</v>
      </c>
      <c r="Q6" s="13">
        <f>SUMIF(Mercado_Receita!$S$2:$S$352,"44682A4GeraçãoNão se aplicaNão se aplicaNão se aplicaNão se aplicaNão se aplica",Mercado_Receita!$J$2:$J$352)+SUMIF(Mercado_Receita!$S$2:$S$352,"44682A4GeraçãoNão se aplicaNão se aplicaAPENão se aplicaNão se aplica",Mercado_Receita!$J$2:$J$352)</f>
        <v>0</v>
      </c>
      <c r="R6" s="13">
        <f>SUMIF(Mercado_Receita!$S$2:$S$352,"44713A4GeraçãoNão se aplicaNão se aplicaNão se aplicaNão se aplicaNão se aplica",Mercado_Receita!$J$2:$J$352)+SUMIF(Mercado_Receita!$S$2:$S$352,"44713A4GeraçãoNão se aplicaNão se aplicaAPENão se aplicaNão se aplica",Mercado_Receita!$J$2:$J$352)</f>
        <v>0</v>
      </c>
      <c r="S6" s="13">
        <f>SUMIF(Mercado_Receita!$S$2:$S$352,"44743A4GeraçãoNão se aplicaNão se aplicaNão se aplicaNão se aplicaNão se aplica",Mercado_Receita!$J$2:$J$352)+SUMIF(Mercado_Receita!$S$2:$S$352,"44743A4GeraçãoNão se aplicaNão se aplicaAPENão se aplicaNão se aplica",Mercado_Receita!$J$2:$J$352)</f>
        <v>0</v>
      </c>
      <c r="T6" s="13">
        <f>SUMIF(Mercado_Receita!$S$2:$S$352,"44774A4GeraçãoNão se aplicaNão se aplicaNão se aplicaNão se aplicaNão se aplica",Mercado_Receita!$J$2:$J$352)+SUMIF(Mercado_Receita!$S$2:$S$352,"44774A4GeraçãoNão se aplicaNão se aplicaAPENão se aplicaNão se aplica",Mercado_Receita!$J$2:$J$352)</f>
        <v>0</v>
      </c>
      <c r="U6" s="13">
        <f t="shared" si="0"/>
        <v>0</v>
      </c>
      <c r="V6" s="13"/>
      <c r="W6" s="13"/>
    </row>
    <row r="7" spans="1:30" ht="11.25" customHeight="1" x14ac:dyDescent="0.3">
      <c r="A7" s="74"/>
      <c r="B7" s="73" t="s">
        <v>36</v>
      </c>
      <c r="C7" s="73" t="s">
        <v>25</v>
      </c>
      <c r="D7" s="73" t="s">
        <v>25</v>
      </c>
      <c r="E7" s="73" t="s">
        <v>25</v>
      </c>
      <c r="F7" s="73" t="s">
        <v>25</v>
      </c>
      <c r="G7" s="13" t="s">
        <v>9</v>
      </c>
      <c r="H7" s="13" t="s">
        <v>72</v>
      </c>
      <c r="I7" s="13">
        <f>SUMIF(Mercado_Receita!$S$2:$S$352,"44440A4VerdeNão se aplicaNão se aplicaNão se aplicaNão se aplicaNão se aplica",Mercado_Receita!$J$2:$J$352)+SUMIF(Mercado_Receita!$S$2:$S$352,"44440A4VerdeNão se aplicaNão se aplicaAPENão se aplicaNão se aplica",Mercado_Receita!$J$2:$J$352)</f>
        <v>10772</v>
      </c>
      <c r="J7" s="13">
        <f>SUMIF(Mercado_Receita!$S$2:$S$352,"44470A4VerdeNão se aplicaNão se aplicaNão se aplicaNão se aplicaNão se aplica",Mercado_Receita!$J$2:$J$352)+SUMIF(Mercado_Receita!$S$2:$S$352,"44470A4VerdeNão se aplicaNão se aplicaAPENão se aplicaNão se aplica",Mercado_Receita!$J$2:$J$352)</f>
        <v>10867</v>
      </c>
      <c r="K7" s="13">
        <f>SUMIF(Mercado_Receita!$S$2:$S$352,"44501A4VerdeNão se aplicaNão se aplicaNão se aplicaNão se aplicaNão se aplica",Mercado_Receita!$J$2:$J$352)+SUMIF(Mercado_Receita!$S$2:$S$352,"44501A4VerdeNão se aplicaNão se aplicaAPENão se aplicaNão se aplica",Mercado_Receita!$J$2:$J$352)</f>
        <v>11019</v>
      </c>
      <c r="L7" s="13">
        <f>SUMIF(Mercado_Receita!$S$2:$S$352,"44531A4VerdeNão se aplicaNão se aplicaNão se aplicaNão se aplicaNão se aplica",Mercado_Receita!$J$2:$J$352)+SUMIF(Mercado_Receita!$S$2:$S$352,"44531A4VerdeNão se aplicaNão se aplicaAPENão se aplicaNão se aplica",Mercado_Receita!$J$2:$J$352)</f>
        <v>10880</v>
      </c>
      <c r="M7" s="13">
        <f>SUMIF(Mercado_Receita!$S$2:$S$352,"44562A4VerdeNão se aplicaNão se aplicaNão se aplicaNão se aplicaNão se aplica",Mercado_Receita!$J$2:$J$352)+SUMIF(Mercado_Receita!$S$2:$S$352,"44562A4VerdeNão se aplicaNão se aplicaAPENão se aplicaNão se aplica",Mercado_Receita!$J$2:$J$352)</f>
        <v>10596</v>
      </c>
      <c r="N7" s="13">
        <f>SUMIF(Mercado_Receita!$S$2:$S$352,"44593A4VerdeNão se aplicaNão se aplicaNão se aplicaNão se aplicaNão se aplica",Mercado_Receita!$J$2:$J$352)+SUMIF(Mercado_Receita!$S$2:$S$352,"44593A4VerdeNão se aplicaNão se aplicaAPENão se aplicaNão se aplica",Mercado_Receita!$J$2:$J$352)</f>
        <v>10963</v>
      </c>
      <c r="O7" s="13">
        <f>SUMIF(Mercado_Receita!$S$2:$S$352,"44621A4VerdeNão se aplicaNão se aplicaNão se aplicaNão se aplicaNão se aplica",Mercado_Receita!$J$2:$J$352)+SUMIF(Mercado_Receita!$S$2:$S$352,"44621A4VerdeNão se aplicaNão se aplicaAPENão se aplicaNão se aplica",Mercado_Receita!$J$2:$J$352)</f>
        <v>10777</v>
      </c>
      <c r="P7" s="13">
        <f>SUMIF(Mercado_Receita!$S$2:$S$352,"44652A4VerdeNão se aplicaNão se aplicaNão se aplicaNão se aplicaNão se aplica",Mercado_Receita!$J$2:$J$352)+SUMIF(Mercado_Receita!$S$2:$S$352,"44652A4VerdeNão se aplicaNão se aplicaAPENão se aplicaNão se aplica",Mercado_Receita!$J$2:$J$352)</f>
        <v>11049</v>
      </c>
      <c r="Q7" s="13">
        <f>SUMIF(Mercado_Receita!$S$2:$S$352,"44682A4VerdeNão se aplicaNão se aplicaNão se aplicaNão se aplicaNão se aplica",Mercado_Receita!$J$2:$J$352)+SUMIF(Mercado_Receita!$S$2:$S$352,"44682A4VerdeNão se aplicaNão se aplicaAPENão se aplicaNão se aplica",Mercado_Receita!$J$2:$J$352)</f>
        <v>10550</v>
      </c>
      <c r="R7" s="13">
        <f>SUMIF(Mercado_Receita!$S$2:$S$352,"44713A4VerdeNão se aplicaNão se aplicaNão se aplicaNão se aplicaNão se aplica",Mercado_Receita!$J$2:$J$352)+SUMIF(Mercado_Receita!$S$2:$S$352,"44713A4VerdeNão se aplicaNão se aplicaAPENão se aplicaNão se aplica",Mercado_Receita!$J$2:$J$352)</f>
        <v>10637</v>
      </c>
      <c r="S7" s="13">
        <f>SUMIF(Mercado_Receita!$S$2:$S$352,"44743A4VerdeNão se aplicaNão se aplicaNão se aplicaNão se aplicaNão se aplica",Mercado_Receita!$J$2:$J$352)+SUMIF(Mercado_Receita!$S$2:$S$352,"44743A4VerdeNão se aplicaNão se aplicaAPENão se aplicaNão se aplica",Mercado_Receita!$J$2:$J$352)</f>
        <v>10609</v>
      </c>
      <c r="T7" s="13">
        <f>SUMIF(Mercado_Receita!$S$2:$S$352,"44774A4VerdeNão se aplicaNão se aplicaNão se aplicaNão se aplicaNão se aplica",Mercado_Receita!$J$2:$J$352)+SUMIF(Mercado_Receita!$S$2:$S$352,"44774A4VerdeNão se aplicaNão se aplicaAPENão se aplicaNão se aplica",Mercado_Receita!$J$2:$J$352)</f>
        <v>10609</v>
      </c>
      <c r="U7" s="13">
        <f t="shared" si="0"/>
        <v>129328</v>
      </c>
      <c r="V7" s="13"/>
      <c r="W7" s="13"/>
    </row>
    <row r="8" spans="1:30" ht="11.25" customHeight="1" x14ac:dyDescent="0.3">
      <c r="A8" s="74"/>
      <c r="B8" s="74"/>
      <c r="C8" s="74"/>
      <c r="D8" s="74"/>
      <c r="E8" s="74"/>
      <c r="F8" s="74"/>
      <c r="G8" s="13" t="s">
        <v>70</v>
      </c>
      <c r="H8" s="13" t="s">
        <v>69</v>
      </c>
      <c r="I8" s="13">
        <f>SUMIF(Mercado_Receita!$S$2:$S$352,"44440A4VerdeNão se aplicaNão se aplicaNão se aplicaNão se aplicaPonta",Mercado_Receita!$L$2:$L$352)</f>
        <v>102.54600000000001</v>
      </c>
      <c r="J8" s="13">
        <f>SUMIF(Mercado_Receita!$S$2:$S$352,"44470A4VerdeNão se aplicaNão se aplicaNão se aplicaNão se aplicaPonta",Mercado_Receita!$L$2:$L$352)</f>
        <v>89.47</v>
      </c>
      <c r="K8" s="13">
        <f>SUMIF(Mercado_Receita!$S$2:$S$352,"44501A4VerdeNão se aplicaNão se aplicaNão se aplicaNão se aplicaPonta",Mercado_Receita!$L$2:$L$352)</f>
        <v>95.427999999999997</v>
      </c>
      <c r="L8" s="13">
        <f>SUMIF(Mercado_Receita!$S$2:$S$352,"44531A4VerdeNão se aplicaNão se aplicaNão se aplicaNão se aplicaPonta",Mercado_Receita!$L$2:$L$352)</f>
        <v>100.22</v>
      </c>
      <c r="M8" s="13">
        <f>SUMIF(Mercado_Receita!$S$2:$S$352,"44562A4VerdeNão se aplicaNão se aplicaNão se aplicaNão se aplicaPonta",Mercado_Receita!$L$2:$L$352)</f>
        <v>99.77000000000001</v>
      </c>
      <c r="N8" s="13">
        <f>SUMIF(Mercado_Receita!$S$2:$S$352,"44593A4VerdeNão se aplicaNão se aplicaNão se aplicaNão se aplicaPonta",Mercado_Receita!$L$2:$L$352)</f>
        <v>99.884</v>
      </c>
      <c r="O8" s="13">
        <f>SUMIF(Mercado_Receita!$S$2:$S$352,"44621A4VerdeNão se aplicaNão se aplicaNão se aplicaNão se aplicaPonta",Mercado_Receita!$L$2:$L$352)</f>
        <v>123.72200000000001</v>
      </c>
      <c r="P8" s="13">
        <f>SUMIF(Mercado_Receita!$S$2:$S$352,"44652A4VerdeNão se aplicaNão se aplicaNão se aplicaNão se aplicaPonta",Mercado_Receita!$L$2:$L$352)</f>
        <v>93.706999999999994</v>
      </c>
      <c r="Q8" s="13">
        <f>SUMIF(Mercado_Receita!$S$2:$S$352,"44682A4VerdeNão se aplicaNão se aplicaNão se aplicaNão se aplicaPonta",Mercado_Receita!$L$2:$L$352)</f>
        <v>115.43199999999999</v>
      </c>
      <c r="R8" s="13">
        <f>SUMIF(Mercado_Receita!$S$2:$S$352,"44713A4VerdeNão se aplicaNão se aplicaNão se aplicaNão se aplicaPonta",Mercado_Receita!$L$2:$L$352)</f>
        <v>105.872</v>
      </c>
      <c r="S8" s="13">
        <f>SUMIF(Mercado_Receita!$S$2:$S$352,"44743A4VerdeNão se aplicaNão se aplicaNão se aplicaNão se aplicaPonta",Mercado_Receita!$L$2:$L$352)</f>
        <v>106.65499999999999</v>
      </c>
      <c r="T8" s="13">
        <f>SUMIF(Mercado_Receita!$S$2:$S$352,"44774A4VerdeNão se aplicaNão se aplicaNão se aplicaNão se aplicaPonta",Mercado_Receita!$L$2:$L$352)</f>
        <v>106.65499999999999</v>
      </c>
      <c r="U8" s="13">
        <f t="shared" si="0"/>
        <v>1239.3609999999999</v>
      </c>
      <c r="V8" s="13"/>
      <c r="W8" s="13"/>
    </row>
    <row r="9" spans="1:30" ht="11.25" customHeight="1" x14ac:dyDescent="0.3">
      <c r="A9" s="74"/>
      <c r="B9" s="74"/>
      <c r="C9" s="74"/>
      <c r="D9" s="74"/>
      <c r="E9" s="74"/>
      <c r="F9" s="74"/>
      <c r="G9" s="13" t="s">
        <v>71</v>
      </c>
      <c r="H9" s="13" t="s">
        <v>69</v>
      </c>
      <c r="I9" s="13">
        <f>SUMIF(Mercado_Receita!$S$2:$S$352,"44440A4VerdeNão se aplicaNão se aplicaNão se aplicaNão se aplicaFora ponta",Mercado_Receita!$L$2:$L$352)</f>
        <v>2450.712</v>
      </c>
      <c r="J9" s="13">
        <f>SUMIF(Mercado_Receita!$S$2:$S$352,"44470A4VerdeNão se aplicaNão se aplicaNão se aplicaNão se aplicaFora ponta",Mercado_Receita!$L$2:$L$352)</f>
        <v>2405.5880000000002</v>
      </c>
      <c r="K9" s="13">
        <f>SUMIF(Mercado_Receita!$S$2:$S$352,"44501A4VerdeNão se aplicaNão se aplicaNão se aplicaNão se aplicaFora ponta",Mercado_Receita!$L$2:$L$352)</f>
        <v>2462.1390000000001</v>
      </c>
      <c r="L9" s="13">
        <f>SUMIF(Mercado_Receita!$S$2:$S$352,"44531A4VerdeNão se aplicaNão se aplicaNão se aplicaNão se aplicaFora ponta",Mercado_Receita!$L$2:$L$352)</f>
        <v>2167.3920000000003</v>
      </c>
      <c r="M9" s="13">
        <f>SUMIF(Mercado_Receita!$S$2:$S$352,"44562A4VerdeNão se aplicaNão se aplicaNão se aplicaNão se aplicaFora ponta",Mercado_Receita!$L$2:$L$352)</f>
        <v>2285.3320000000003</v>
      </c>
      <c r="N9" s="13">
        <f>SUMIF(Mercado_Receita!$S$2:$S$352,"44593A4VerdeNão se aplicaNão se aplicaNão se aplicaNão se aplicaFora ponta",Mercado_Receita!$L$2:$L$352)</f>
        <v>2174.2359999999999</v>
      </c>
      <c r="O9" s="13">
        <f>SUMIF(Mercado_Receita!$S$2:$S$352,"44621A4VerdeNão se aplicaNão se aplicaNão se aplicaNão se aplicaFora ponta",Mercado_Receita!$L$2:$L$352)</f>
        <v>2673.6440000000002</v>
      </c>
      <c r="P9" s="13">
        <f>SUMIF(Mercado_Receita!$S$2:$S$352,"44652A4VerdeNão se aplicaNão se aplicaNão se aplicaNão se aplicaFora ponta",Mercado_Receita!$L$2:$L$352)</f>
        <v>2380.1290000000004</v>
      </c>
      <c r="Q9" s="13">
        <f>SUMIF(Mercado_Receita!$S$2:$S$352,"44682A4VerdeNão se aplicaNão se aplicaNão se aplicaNão se aplicaFora ponta",Mercado_Receita!$L$2:$L$352)</f>
        <v>2521.098</v>
      </c>
      <c r="R9" s="13">
        <f>SUMIF(Mercado_Receita!$S$2:$S$352,"44713A4VerdeNão se aplicaNão se aplicaNão se aplicaNão se aplicaFora ponta",Mercado_Receita!$L$2:$L$352)</f>
        <v>2471.7799999999997</v>
      </c>
      <c r="S9" s="13">
        <f>SUMIF(Mercado_Receita!$S$2:$S$352,"44743A4VerdeNão se aplicaNão se aplicaNão se aplicaNão se aplicaFora ponta",Mercado_Receita!$L$2:$L$352)</f>
        <v>2290.94</v>
      </c>
      <c r="T9" s="13">
        <f>SUMIF(Mercado_Receita!$S$2:$S$352,"44774A4VerdeNão se aplicaNão se aplicaNão se aplicaNão se aplicaFora ponta",Mercado_Receita!$L$2:$L$352)</f>
        <v>2290.94</v>
      </c>
      <c r="U9" s="13">
        <f t="shared" si="0"/>
        <v>28573.93</v>
      </c>
      <c r="V9" s="13"/>
      <c r="W9" s="13"/>
    </row>
    <row r="10" spans="1:30" ht="11.25" customHeight="1" x14ac:dyDescent="0.3">
      <c r="A10" s="74"/>
      <c r="B10" s="74"/>
      <c r="C10" s="74"/>
      <c r="D10" s="74"/>
      <c r="E10" s="73" t="s">
        <v>76</v>
      </c>
      <c r="F10" s="73" t="s">
        <v>25</v>
      </c>
      <c r="G10" s="13" t="s">
        <v>70</v>
      </c>
      <c r="H10" s="13" t="s">
        <v>69</v>
      </c>
      <c r="I10" s="13">
        <f>SUMIF(Mercado_Receita!$S$2:$S$352,"44440A4VerdeNão se aplicaNão se aplicaAPENão se aplicaPonta",Mercado_Receita!$L$2:$L$352)</f>
        <v>0</v>
      </c>
      <c r="J10" s="13">
        <f>SUMIF(Mercado_Receita!$S$2:$S$352,"44470A4VerdeNão se aplicaNão se aplicaAPENão se aplicaPonta",Mercado_Receita!$L$2:$L$352)</f>
        <v>0</v>
      </c>
      <c r="K10" s="13">
        <f>SUMIF(Mercado_Receita!$S$2:$S$352,"44501A4VerdeNão se aplicaNão se aplicaAPENão se aplicaPonta",Mercado_Receita!$L$2:$L$352)</f>
        <v>0</v>
      </c>
      <c r="L10" s="13">
        <f>SUMIF(Mercado_Receita!$S$2:$S$352,"44531A4VerdeNão se aplicaNão se aplicaAPENão se aplicaPonta",Mercado_Receita!$L$2:$L$352)</f>
        <v>0</v>
      </c>
      <c r="M10" s="13">
        <f>SUMIF(Mercado_Receita!$S$2:$S$352,"44562A4VerdeNão se aplicaNão se aplicaAPENão se aplicaPonta",Mercado_Receita!$L$2:$L$352)</f>
        <v>0</v>
      </c>
      <c r="N10" s="13">
        <f>SUMIF(Mercado_Receita!$S$2:$S$352,"44593A4VerdeNão se aplicaNão se aplicaAPENão se aplicaPonta",Mercado_Receita!$L$2:$L$352)</f>
        <v>0</v>
      </c>
      <c r="O10" s="13">
        <f>SUMIF(Mercado_Receita!$S$2:$S$352,"44621A4VerdeNão se aplicaNão se aplicaAPENão se aplicaPonta",Mercado_Receita!$L$2:$L$352)</f>
        <v>0</v>
      </c>
      <c r="P10" s="13">
        <f>SUMIF(Mercado_Receita!$S$2:$S$352,"44652A4VerdeNão se aplicaNão se aplicaAPENão se aplicaPonta",Mercado_Receita!$L$2:$L$352)</f>
        <v>0</v>
      </c>
      <c r="Q10" s="13">
        <f>SUMIF(Mercado_Receita!$S$2:$S$352,"44682A4VerdeNão se aplicaNão se aplicaAPENão se aplicaPonta",Mercado_Receita!$L$2:$L$352)</f>
        <v>0</v>
      </c>
      <c r="R10" s="13">
        <f>SUMIF(Mercado_Receita!$S$2:$S$352,"44713A4VerdeNão se aplicaNão se aplicaAPENão se aplicaPonta",Mercado_Receita!$L$2:$L$352)</f>
        <v>0</v>
      </c>
      <c r="S10" s="13">
        <f>SUMIF(Mercado_Receita!$S$2:$S$352,"44743A4VerdeNão se aplicaNão se aplicaAPENão se aplicaPonta",Mercado_Receita!$L$2:$L$352)</f>
        <v>0</v>
      </c>
      <c r="T10" s="13">
        <f>SUMIF(Mercado_Receita!$S$2:$S$352,"44774A4VerdeNão se aplicaNão se aplicaAPENão se aplicaPonta",Mercado_Receita!$L$2:$L$352)</f>
        <v>0</v>
      </c>
      <c r="U10" s="13">
        <f t="shared" si="0"/>
        <v>0</v>
      </c>
      <c r="V10" s="13"/>
      <c r="W10" s="13"/>
    </row>
    <row r="11" spans="1:30" ht="11.25" customHeight="1" x14ac:dyDescent="0.3">
      <c r="A11" s="74"/>
      <c r="B11" s="74"/>
      <c r="C11" s="74"/>
      <c r="D11" s="74"/>
      <c r="E11" s="74"/>
      <c r="F11" s="74"/>
      <c r="G11" s="13" t="s">
        <v>71</v>
      </c>
      <c r="H11" s="13" t="s">
        <v>69</v>
      </c>
      <c r="I11" s="13">
        <f>SUMIF(Mercado_Receita!$S$2:$S$352,"44440A4VerdeNão se aplicaNão se aplicaAPENão se aplicaFora ponta",Mercado_Receita!$L$2:$L$352)</f>
        <v>0</v>
      </c>
      <c r="J11" s="13">
        <f>SUMIF(Mercado_Receita!$S$2:$S$352,"44470A4VerdeNão se aplicaNão se aplicaAPENão se aplicaFora ponta",Mercado_Receita!$L$2:$L$352)</f>
        <v>0</v>
      </c>
      <c r="K11" s="13">
        <f>SUMIF(Mercado_Receita!$S$2:$S$352,"44501A4VerdeNão se aplicaNão se aplicaAPENão se aplicaFora ponta",Mercado_Receita!$L$2:$L$352)</f>
        <v>0</v>
      </c>
      <c r="L11" s="13">
        <f>SUMIF(Mercado_Receita!$S$2:$S$352,"44531A4VerdeNão se aplicaNão se aplicaAPENão se aplicaFora ponta",Mercado_Receita!$L$2:$L$352)</f>
        <v>0</v>
      </c>
      <c r="M11" s="13">
        <f>SUMIF(Mercado_Receita!$S$2:$S$352,"44562A4VerdeNão se aplicaNão se aplicaAPENão se aplicaFora ponta",Mercado_Receita!$L$2:$L$352)</f>
        <v>0</v>
      </c>
      <c r="N11" s="13">
        <f>SUMIF(Mercado_Receita!$S$2:$S$352,"44593A4VerdeNão se aplicaNão se aplicaAPENão se aplicaFora ponta",Mercado_Receita!$L$2:$L$352)</f>
        <v>0</v>
      </c>
      <c r="O11" s="13">
        <f>SUMIF(Mercado_Receita!$S$2:$S$352,"44621A4VerdeNão se aplicaNão se aplicaAPENão se aplicaFora ponta",Mercado_Receita!$L$2:$L$352)</f>
        <v>0</v>
      </c>
      <c r="P11" s="13">
        <f>SUMIF(Mercado_Receita!$S$2:$S$352,"44652A4VerdeNão se aplicaNão se aplicaAPENão se aplicaFora ponta",Mercado_Receita!$L$2:$L$352)</f>
        <v>0</v>
      </c>
      <c r="Q11" s="13">
        <f>SUMIF(Mercado_Receita!$S$2:$S$352,"44682A4VerdeNão se aplicaNão se aplicaAPENão se aplicaFora ponta",Mercado_Receita!$L$2:$L$352)</f>
        <v>0</v>
      </c>
      <c r="R11" s="13">
        <f>SUMIF(Mercado_Receita!$S$2:$S$352,"44713A4VerdeNão se aplicaNão se aplicaAPENão se aplicaFora ponta",Mercado_Receita!$L$2:$L$352)</f>
        <v>0</v>
      </c>
      <c r="S11" s="13">
        <f>SUMIF(Mercado_Receita!$S$2:$S$352,"44743A4VerdeNão se aplicaNão se aplicaAPENão se aplicaFora ponta",Mercado_Receita!$L$2:$L$352)</f>
        <v>0</v>
      </c>
      <c r="T11" s="13">
        <f>SUMIF(Mercado_Receita!$S$2:$S$352,"44774A4VerdeNão se aplicaNão se aplicaAPENão se aplicaFora ponta",Mercado_Receita!$L$2:$L$352)</f>
        <v>0</v>
      </c>
      <c r="U11" s="13">
        <f t="shared" si="0"/>
        <v>0</v>
      </c>
      <c r="V11" s="13"/>
      <c r="W11" s="13"/>
    </row>
    <row r="12" spans="1:30" ht="11.25" customHeight="1" x14ac:dyDescent="0.3">
      <c r="A12" s="73" t="s">
        <v>78</v>
      </c>
      <c r="B12" s="73" t="s">
        <v>77</v>
      </c>
      <c r="C12" s="73" t="s">
        <v>25</v>
      </c>
      <c r="D12" s="73" t="s">
        <v>25</v>
      </c>
      <c r="E12" s="12" t="s">
        <v>79</v>
      </c>
      <c r="F12" s="12" t="s">
        <v>25</v>
      </c>
      <c r="G12" s="13" t="s">
        <v>9</v>
      </c>
      <c r="H12" s="13" t="s">
        <v>72</v>
      </c>
      <c r="I12" s="13">
        <f>SUMIF(Mercado_Receita!$S$2:$S$352,"44440BGeraçãoNão se aplicaNão se aplicaTIPO 01Não se aplicaNão se aplica",Mercado_Receita!$J$2:$J$352)+SUMIF(Mercado_Receita!$S$2:$S$352,"44440BGeraçãoNão se aplicaNão se aplicaAPENão se aplicaNão se aplica",Mercado_Receita!$J$2:$J$352)</f>
        <v>0</v>
      </c>
      <c r="J12" s="13">
        <f>SUMIF(Mercado_Receita!$S$2:$S$352,"44470BGeraçãoNão se aplicaNão se aplicaTIPO 01Não se aplicaNão se aplica",Mercado_Receita!$J$2:$J$352)+SUMIF(Mercado_Receita!$S$2:$S$352,"44470BGeraçãoNão se aplicaNão se aplicaAPENão se aplicaNão se aplica",Mercado_Receita!$J$2:$J$352)</f>
        <v>0</v>
      </c>
      <c r="K12" s="13">
        <f>SUMIF(Mercado_Receita!$S$2:$S$352,"44501BGeraçãoNão se aplicaNão se aplicaTIPO 01Não se aplicaNão se aplica",Mercado_Receita!$J$2:$J$352)+SUMIF(Mercado_Receita!$S$2:$S$352,"44501BGeraçãoNão se aplicaNão se aplicaAPENão se aplicaNão se aplica",Mercado_Receita!$J$2:$J$352)</f>
        <v>0</v>
      </c>
      <c r="L12" s="13">
        <f>SUMIF(Mercado_Receita!$S$2:$S$352,"44531BGeraçãoNão se aplicaNão se aplicaTIPO 01Não se aplicaNão se aplica",Mercado_Receita!$J$2:$J$352)+SUMIF(Mercado_Receita!$S$2:$S$352,"44531BGeraçãoNão se aplicaNão se aplicaAPENão se aplicaNão se aplica",Mercado_Receita!$J$2:$J$352)</f>
        <v>0</v>
      </c>
      <c r="M12" s="13">
        <f>SUMIF(Mercado_Receita!$S$2:$S$352,"44562BGeraçãoNão se aplicaNão se aplicaTIPO 01Não se aplicaNão se aplica",Mercado_Receita!$J$2:$J$352)+SUMIF(Mercado_Receita!$S$2:$S$352,"44562BGeraçãoNão se aplicaNão se aplicaAPENão se aplicaNão se aplica",Mercado_Receita!$J$2:$J$352)</f>
        <v>0</v>
      </c>
      <c r="N12" s="13">
        <f>SUMIF(Mercado_Receita!$S$2:$S$352,"44593BGeraçãoNão se aplicaNão se aplicaTIPO 01Não se aplicaNão se aplica",Mercado_Receita!$J$2:$J$352)+SUMIF(Mercado_Receita!$S$2:$S$352,"44593BGeraçãoNão se aplicaNão se aplicaAPENão se aplicaNão se aplica",Mercado_Receita!$J$2:$J$352)</f>
        <v>0</v>
      </c>
      <c r="O12" s="13">
        <f>SUMIF(Mercado_Receita!$S$2:$S$352,"44621BGeraçãoNão se aplicaNão se aplicaTIPO 01Não se aplicaNão se aplica",Mercado_Receita!$J$2:$J$352)+SUMIF(Mercado_Receita!$S$2:$S$352,"44621BGeraçãoNão se aplicaNão se aplicaAPENão se aplicaNão se aplica",Mercado_Receita!$J$2:$J$352)</f>
        <v>0</v>
      </c>
      <c r="P12" s="13">
        <f>SUMIF(Mercado_Receita!$S$2:$S$352,"44652BGeraçãoNão se aplicaNão se aplicaTIPO 01Não se aplicaNão se aplica",Mercado_Receita!$J$2:$J$352)+SUMIF(Mercado_Receita!$S$2:$S$352,"44652BGeraçãoNão se aplicaNão se aplicaAPENão se aplicaNão se aplica",Mercado_Receita!$J$2:$J$352)</f>
        <v>0</v>
      </c>
      <c r="Q12" s="13">
        <f>SUMIF(Mercado_Receita!$S$2:$S$352,"44682BGeraçãoNão se aplicaNão se aplicaTIPO 01Não se aplicaNão se aplica",Mercado_Receita!$J$2:$J$352)+SUMIF(Mercado_Receita!$S$2:$S$352,"44682BGeraçãoNão se aplicaNão se aplicaAPENão se aplicaNão se aplica",Mercado_Receita!$J$2:$J$352)</f>
        <v>0</v>
      </c>
      <c r="R12" s="13">
        <f>SUMIF(Mercado_Receita!$S$2:$S$352,"44713BGeraçãoNão se aplicaNão se aplicaTIPO 01Não se aplicaNão se aplica",Mercado_Receita!$J$2:$J$352)+SUMIF(Mercado_Receita!$S$2:$S$352,"44713BGeraçãoNão se aplicaNão se aplicaAPENão se aplicaNão se aplica",Mercado_Receita!$J$2:$J$352)</f>
        <v>0</v>
      </c>
      <c r="S12" s="13">
        <f>SUMIF(Mercado_Receita!$S$2:$S$352,"44743BGeraçãoNão se aplicaNão se aplicaTIPO 01Não se aplicaNão se aplica",Mercado_Receita!$J$2:$J$352)+SUMIF(Mercado_Receita!$S$2:$S$352,"44743BGeraçãoNão se aplicaNão se aplicaAPENão se aplicaNão se aplica",Mercado_Receita!$J$2:$J$352)</f>
        <v>0</v>
      </c>
      <c r="T12" s="13">
        <f>SUMIF(Mercado_Receita!$S$2:$S$352,"44774BGeraçãoNão se aplicaNão se aplicaTIPO 01Não se aplicaNão se aplica",Mercado_Receita!$J$2:$J$352)+SUMIF(Mercado_Receita!$S$2:$S$352,"44774BGeraçãoNão se aplicaNão se aplicaAPENão se aplicaNão se aplica",Mercado_Receita!$J$2:$J$352)</f>
        <v>0</v>
      </c>
      <c r="U12" s="13">
        <f t="shared" si="0"/>
        <v>0</v>
      </c>
      <c r="V12" s="13"/>
      <c r="W12" s="13"/>
    </row>
    <row r="13" spans="1:30" ht="11.25" customHeight="1" x14ac:dyDescent="0.3">
      <c r="A13" s="74"/>
      <c r="B13" s="74"/>
      <c r="C13" s="74"/>
      <c r="D13" s="74"/>
      <c r="E13" s="12" t="s">
        <v>80</v>
      </c>
      <c r="F13" s="12" t="s">
        <v>25</v>
      </c>
      <c r="G13" s="13" t="s">
        <v>9</v>
      </c>
      <c r="H13" s="13" t="s">
        <v>72</v>
      </c>
      <c r="I13" s="13">
        <f>SUMIF(Mercado_Receita!$S$2:$S$352,"44440BGeraçãoNão se aplicaNão se aplicaTIPO 02Não se aplicaNão se aplica",Mercado_Receita!$J$2:$J$352)+SUMIF(Mercado_Receita!$S$2:$S$352,"44440BGeraçãoNão se aplicaNão se aplicaAPENão se aplicaNão se aplica",Mercado_Receita!$J$2:$J$352)</f>
        <v>0</v>
      </c>
      <c r="J13" s="13">
        <f>SUMIF(Mercado_Receita!$S$2:$S$352,"44470BGeraçãoNão se aplicaNão se aplicaTIPO 02Não se aplicaNão se aplica",Mercado_Receita!$J$2:$J$352)+SUMIF(Mercado_Receita!$S$2:$S$352,"44470BGeraçãoNão se aplicaNão se aplicaAPENão se aplicaNão se aplica",Mercado_Receita!$J$2:$J$352)</f>
        <v>0</v>
      </c>
      <c r="K13" s="13">
        <f>SUMIF(Mercado_Receita!$S$2:$S$352,"44501BGeraçãoNão se aplicaNão se aplicaTIPO 02Não se aplicaNão se aplica",Mercado_Receita!$J$2:$J$352)+SUMIF(Mercado_Receita!$S$2:$S$352,"44501BGeraçãoNão se aplicaNão se aplicaAPENão se aplicaNão se aplica",Mercado_Receita!$J$2:$J$352)</f>
        <v>0</v>
      </c>
      <c r="L13" s="13">
        <f>SUMIF(Mercado_Receita!$S$2:$S$352,"44531BGeraçãoNão se aplicaNão se aplicaTIPO 02Não se aplicaNão se aplica",Mercado_Receita!$J$2:$J$352)+SUMIF(Mercado_Receita!$S$2:$S$352,"44531BGeraçãoNão se aplicaNão se aplicaAPENão se aplicaNão se aplica",Mercado_Receita!$J$2:$J$352)</f>
        <v>0</v>
      </c>
      <c r="M13" s="13">
        <f>SUMIF(Mercado_Receita!$S$2:$S$352,"44562BGeraçãoNão se aplicaNão se aplicaTIPO 02Não se aplicaNão se aplica",Mercado_Receita!$J$2:$J$352)+SUMIF(Mercado_Receita!$S$2:$S$352,"44562BGeraçãoNão se aplicaNão se aplicaAPENão se aplicaNão se aplica",Mercado_Receita!$J$2:$J$352)</f>
        <v>0</v>
      </c>
      <c r="N13" s="13">
        <f>SUMIF(Mercado_Receita!$S$2:$S$352,"44593BGeraçãoNão se aplicaNão se aplicaTIPO 02Não se aplicaNão se aplica",Mercado_Receita!$J$2:$J$352)+SUMIF(Mercado_Receita!$S$2:$S$352,"44593BGeraçãoNão se aplicaNão se aplicaAPENão se aplicaNão se aplica",Mercado_Receita!$J$2:$J$352)</f>
        <v>0</v>
      </c>
      <c r="O13" s="13">
        <f>SUMIF(Mercado_Receita!$S$2:$S$352,"44621BGeraçãoNão se aplicaNão se aplicaTIPO 02Não se aplicaNão se aplica",Mercado_Receita!$J$2:$J$352)+SUMIF(Mercado_Receita!$S$2:$S$352,"44621BGeraçãoNão se aplicaNão se aplicaAPENão se aplicaNão se aplica",Mercado_Receita!$J$2:$J$352)</f>
        <v>0</v>
      </c>
      <c r="P13" s="13">
        <f>SUMIF(Mercado_Receita!$S$2:$S$352,"44652BGeraçãoNão se aplicaNão se aplicaTIPO 02Não se aplicaNão se aplica",Mercado_Receita!$J$2:$J$352)+SUMIF(Mercado_Receita!$S$2:$S$352,"44652BGeraçãoNão se aplicaNão se aplicaAPENão se aplicaNão se aplica",Mercado_Receita!$J$2:$J$352)</f>
        <v>0</v>
      </c>
      <c r="Q13" s="13">
        <f>SUMIF(Mercado_Receita!$S$2:$S$352,"44682BGeraçãoNão se aplicaNão se aplicaTIPO 02Não se aplicaNão se aplica",Mercado_Receita!$J$2:$J$352)+SUMIF(Mercado_Receita!$S$2:$S$352,"44682BGeraçãoNão se aplicaNão se aplicaAPENão se aplicaNão se aplica",Mercado_Receita!$J$2:$J$352)</f>
        <v>0</v>
      </c>
      <c r="R13" s="13">
        <f>SUMIF(Mercado_Receita!$S$2:$S$352,"44713BGeraçãoNão se aplicaNão se aplicaTIPO 02Não se aplicaNão se aplica",Mercado_Receita!$J$2:$J$352)+SUMIF(Mercado_Receita!$S$2:$S$352,"44713BGeraçãoNão se aplicaNão se aplicaAPENão se aplicaNão se aplica",Mercado_Receita!$J$2:$J$352)</f>
        <v>0</v>
      </c>
      <c r="S13" s="13">
        <f>SUMIF(Mercado_Receita!$S$2:$S$352,"44743BGeraçãoNão se aplicaNão se aplicaTIPO 02Não se aplicaNão se aplica",Mercado_Receita!$J$2:$J$352)+SUMIF(Mercado_Receita!$S$2:$S$352,"44743BGeraçãoNão se aplicaNão se aplicaAPENão se aplicaNão se aplica",Mercado_Receita!$J$2:$J$352)</f>
        <v>0</v>
      </c>
      <c r="T13" s="13">
        <f>SUMIF(Mercado_Receita!$S$2:$S$352,"44774BGeraçãoNão se aplicaNão se aplicaTIPO 02Não se aplicaNão se aplica",Mercado_Receita!$J$2:$J$352)+SUMIF(Mercado_Receita!$S$2:$S$352,"44774BGeraçãoNão se aplicaNão se aplicaAPENão se aplicaNão se aplica",Mercado_Receita!$J$2:$J$352)</f>
        <v>0</v>
      </c>
      <c r="U13" s="13">
        <f t="shared" si="0"/>
        <v>0</v>
      </c>
      <c r="V13" s="13"/>
      <c r="W13" s="13"/>
    </row>
    <row r="14" spans="1:30" ht="11.25" customHeight="1" x14ac:dyDescent="0.3">
      <c r="A14" s="73" t="s">
        <v>22</v>
      </c>
      <c r="B14" s="73" t="s">
        <v>39</v>
      </c>
      <c r="C14" s="73" t="s">
        <v>24</v>
      </c>
      <c r="D14" s="73" t="s">
        <v>24</v>
      </c>
      <c r="E14" s="73" t="s">
        <v>25</v>
      </c>
      <c r="F14" s="73" t="s">
        <v>25</v>
      </c>
      <c r="G14" s="13" t="s">
        <v>70</v>
      </c>
      <c r="H14" s="13" t="s">
        <v>69</v>
      </c>
      <c r="I14" s="13">
        <f>SUMIF(Mercado_Receita!$S$2:$S$352,"44440B1BrancaResidencialResidencialNão se aplicaNão se aplicaPonta",Mercado_Receita!$L$2:$L$352)</f>
        <v>0</v>
      </c>
      <c r="J14" s="13">
        <f>SUMIF(Mercado_Receita!$S$2:$S$352,"44470B1BrancaResidencialResidencialNão se aplicaNão se aplicaPonta",Mercado_Receita!$L$2:$L$352)</f>
        <v>0</v>
      </c>
      <c r="K14" s="13">
        <f>SUMIF(Mercado_Receita!$S$2:$S$352,"44501B1BrancaResidencialResidencialNão se aplicaNão se aplicaPonta",Mercado_Receita!$L$2:$L$352)</f>
        <v>0</v>
      </c>
      <c r="L14" s="13">
        <f>SUMIF(Mercado_Receita!$S$2:$S$352,"44531B1BrancaResidencialResidencialNão se aplicaNão se aplicaPonta",Mercado_Receita!$L$2:$L$352)</f>
        <v>0</v>
      </c>
      <c r="M14" s="13">
        <f>SUMIF(Mercado_Receita!$S$2:$S$352,"44562B1BrancaResidencialResidencialNão se aplicaNão se aplicaPonta",Mercado_Receita!$L$2:$L$352)</f>
        <v>0</v>
      </c>
      <c r="N14" s="13">
        <f>SUMIF(Mercado_Receita!$S$2:$S$352,"44593B1BrancaResidencialResidencialNão se aplicaNão se aplicaPonta",Mercado_Receita!$L$2:$L$352)</f>
        <v>0</v>
      </c>
      <c r="O14" s="13">
        <f>SUMIF(Mercado_Receita!$S$2:$S$352,"44621B1BrancaResidencialResidencialNão se aplicaNão se aplicaPonta",Mercado_Receita!$L$2:$L$352)</f>
        <v>0</v>
      </c>
      <c r="P14" s="13">
        <f>SUMIF(Mercado_Receita!$S$2:$S$352,"44652B1BrancaResidencialResidencialNão se aplicaNão se aplicaPonta",Mercado_Receita!$L$2:$L$352)</f>
        <v>0</v>
      </c>
      <c r="Q14" s="13">
        <f>SUMIF(Mercado_Receita!$S$2:$S$352,"44682B1BrancaResidencialResidencialNão se aplicaNão se aplicaPonta",Mercado_Receita!$L$2:$L$352)</f>
        <v>0</v>
      </c>
      <c r="R14" s="13">
        <f>SUMIF(Mercado_Receita!$S$2:$S$352,"44713B1BrancaResidencialResidencialNão se aplicaNão se aplicaPonta",Mercado_Receita!$L$2:$L$352)</f>
        <v>0</v>
      </c>
      <c r="S14" s="13">
        <f>SUMIF(Mercado_Receita!$S$2:$S$352,"44743B1BrancaResidencialResidencialNão se aplicaNão se aplicaPonta",Mercado_Receita!$L$2:$L$352)</f>
        <v>0</v>
      </c>
      <c r="T14" s="13">
        <f>SUMIF(Mercado_Receita!$S$2:$S$352,"44774B1BrancaResidencialResidencialNão se aplicaNão se aplicaPonta",Mercado_Receita!$L$2:$L$352)</f>
        <v>0</v>
      </c>
      <c r="U14" s="13">
        <f t="shared" si="0"/>
        <v>0</v>
      </c>
      <c r="V14" s="13"/>
      <c r="W14" s="13"/>
    </row>
    <row r="15" spans="1:30" ht="11.25" customHeight="1" x14ac:dyDescent="0.3">
      <c r="A15" s="74"/>
      <c r="B15" s="74"/>
      <c r="C15" s="74"/>
      <c r="D15" s="74"/>
      <c r="E15" s="74"/>
      <c r="F15" s="74"/>
      <c r="G15" s="13" t="s">
        <v>81</v>
      </c>
      <c r="H15" s="13" t="s">
        <v>69</v>
      </c>
      <c r="I15" s="13">
        <f>SUMIF(Mercado_Receita!$S$2:$S$352,"44440B1BrancaResidencialResidencialNão se aplicaNão se aplicaIntermediário",Mercado_Receita!$L$2:$L$352)</f>
        <v>0</v>
      </c>
      <c r="J15" s="13">
        <f>SUMIF(Mercado_Receita!$S$2:$S$352,"44470B1BrancaResidencialResidencialNão se aplicaNão se aplicaIntermediário",Mercado_Receita!$L$2:$L$352)</f>
        <v>0</v>
      </c>
      <c r="K15" s="13">
        <f>SUMIF(Mercado_Receita!$S$2:$S$352,"44501B1BrancaResidencialResidencialNão se aplicaNão se aplicaIntermediário",Mercado_Receita!$L$2:$L$352)</f>
        <v>0</v>
      </c>
      <c r="L15" s="13">
        <f>SUMIF(Mercado_Receita!$S$2:$S$352,"44531B1BrancaResidencialResidencialNão se aplicaNão se aplicaIntermediário",Mercado_Receita!$L$2:$L$352)</f>
        <v>0</v>
      </c>
      <c r="M15" s="13">
        <f>SUMIF(Mercado_Receita!$S$2:$S$352,"44562B1BrancaResidencialResidencialNão se aplicaNão se aplicaIntermediário",Mercado_Receita!$L$2:$L$352)</f>
        <v>0</v>
      </c>
      <c r="N15" s="13">
        <f>SUMIF(Mercado_Receita!$S$2:$S$352,"44593B1BrancaResidencialResidencialNão se aplicaNão se aplicaIntermediário",Mercado_Receita!$L$2:$L$352)</f>
        <v>0</v>
      </c>
      <c r="O15" s="13">
        <f>SUMIF(Mercado_Receita!$S$2:$S$352,"44621B1BrancaResidencialResidencialNão se aplicaNão se aplicaIntermediário",Mercado_Receita!$L$2:$L$352)</f>
        <v>0</v>
      </c>
      <c r="P15" s="13">
        <f>SUMIF(Mercado_Receita!$S$2:$S$352,"44652B1BrancaResidencialResidencialNão se aplicaNão se aplicaIntermediário",Mercado_Receita!$L$2:$L$352)</f>
        <v>0</v>
      </c>
      <c r="Q15" s="13">
        <f>SUMIF(Mercado_Receita!$S$2:$S$352,"44682B1BrancaResidencialResidencialNão se aplicaNão se aplicaIntermediário",Mercado_Receita!$L$2:$L$352)</f>
        <v>0</v>
      </c>
      <c r="R15" s="13">
        <f>SUMIF(Mercado_Receita!$S$2:$S$352,"44713B1BrancaResidencialResidencialNão se aplicaNão se aplicaIntermediário",Mercado_Receita!$L$2:$L$352)</f>
        <v>0</v>
      </c>
      <c r="S15" s="13">
        <f>SUMIF(Mercado_Receita!$S$2:$S$352,"44743B1BrancaResidencialResidencialNão se aplicaNão se aplicaIntermediário",Mercado_Receita!$L$2:$L$352)</f>
        <v>0</v>
      </c>
      <c r="T15" s="13">
        <f>SUMIF(Mercado_Receita!$S$2:$S$352,"44774B1BrancaResidencialResidencialNão se aplicaNão se aplicaIntermediário",Mercado_Receita!$L$2:$L$352)</f>
        <v>0</v>
      </c>
      <c r="U15" s="13">
        <f t="shared" si="0"/>
        <v>0</v>
      </c>
      <c r="V15" s="13"/>
      <c r="W15" s="13"/>
    </row>
    <row r="16" spans="1:30" ht="11.25" customHeight="1" x14ac:dyDescent="0.3">
      <c r="A16" s="74"/>
      <c r="B16" s="74"/>
      <c r="C16" s="74"/>
      <c r="D16" s="74"/>
      <c r="E16" s="74"/>
      <c r="F16" s="74"/>
      <c r="G16" s="13" t="s">
        <v>71</v>
      </c>
      <c r="H16" s="13" t="s">
        <v>69</v>
      </c>
      <c r="I16" s="13">
        <f>SUMIF(Mercado_Receita!$S$2:$S$352,"44440B1BrancaResidencialResidencialNão se aplicaNão se aplicaFora ponta",Mercado_Receita!$L$2:$L$352)</f>
        <v>0</v>
      </c>
      <c r="J16" s="13">
        <f>SUMIF(Mercado_Receita!$S$2:$S$352,"44470B1BrancaResidencialResidencialNão se aplicaNão se aplicaFora ponta",Mercado_Receita!$L$2:$L$352)</f>
        <v>0</v>
      </c>
      <c r="K16" s="13">
        <f>SUMIF(Mercado_Receita!$S$2:$S$352,"44501B1BrancaResidencialResidencialNão se aplicaNão se aplicaFora ponta",Mercado_Receita!$L$2:$L$352)</f>
        <v>0</v>
      </c>
      <c r="L16" s="13">
        <f>SUMIF(Mercado_Receita!$S$2:$S$352,"44531B1BrancaResidencialResidencialNão se aplicaNão se aplicaFora ponta",Mercado_Receita!$L$2:$L$352)</f>
        <v>0</v>
      </c>
      <c r="M16" s="13">
        <f>SUMIF(Mercado_Receita!$S$2:$S$352,"44562B1BrancaResidencialResidencialNão se aplicaNão se aplicaFora ponta",Mercado_Receita!$L$2:$L$352)</f>
        <v>0</v>
      </c>
      <c r="N16" s="13">
        <f>SUMIF(Mercado_Receita!$S$2:$S$352,"44593B1BrancaResidencialResidencialNão se aplicaNão se aplicaFora ponta",Mercado_Receita!$L$2:$L$352)</f>
        <v>0</v>
      </c>
      <c r="O16" s="13">
        <f>SUMIF(Mercado_Receita!$S$2:$S$352,"44621B1BrancaResidencialResidencialNão se aplicaNão se aplicaFora ponta",Mercado_Receita!$L$2:$L$352)</f>
        <v>0</v>
      </c>
      <c r="P16" s="13">
        <f>SUMIF(Mercado_Receita!$S$2:$S$352,"44652B1BrancaResidencialResidencialNão se aplicaNão se aplicaFora ponta",Mercado_Receita!$L$2:$L$352)</f>
        <v>0</v>
      </c>
      <c r="Q16" s="13">
        <f>SUMIF(Mercado_Receita!$S$2:$S$352,"44682B1BrancaResidencialResidencialNão se aplicaNão se aplicaFora ponta",Mercado_Receita!$L$2:$L$352)</f>
        <v>0</v>
      </c>
      <c r="R16" s="13">
        <f>SUMIF(Mercado_Receita!$S$2:$S$352,"44713B1BrancaResidencialResidencialNão se aplicaNão se aplicaFora ponta",Mercado_Receita!$L$2:$L$352)</f>
        <v>0</v>
      </c>
      <c r="S16" s="13">
        <f>SUMIF(Mercado_Receita!$S$2:$S$352,"44743B1BrancaResidencialResidencialNão se aplicaNão se aplicaFora ponta",Mercado_Receita!$L$2:$L$352)</f>
        <v>0</v>
      </c>
      <c r="T16" s="13">
        <f>SUMIF(Mercado_Receita!$S$2:$S$352,"44774B1BrancaResidencialResidencialNão se aplicaNão se aplicaFora ponta",Mercado_Receita!$L$2:$L$352)</f>
        <v>0</v>
      </c>
      <c r="U16" s="13">
        <f t="shared" si="0"/>
        <v>0</v>
      </c>
      <c r="V16" s="13"/>
      <c r="W16" s="13"/>
    </row>
    <row r="17" spans="1:23" ht="11.25" customHeight="1" x14ac:dyDescent="0.3">
      <c r="A17" s="74"/>
      <c r="B17" s="73" t="s">
        <v>23</v>
      </c>
      <c r="C17" s="73" t="s">
        <v>24</v>
      </c>
      <c r="D17" s="12" t="s">
        <v>24</v>
      </c>
      <c r="E17" s="12" t="s">
        <v>25</v>
      </c>
      <c r="F17" s="12" t="s">
        <v>25</v>
      </c>
      <c r="G17" s="13" t="s">
        <v>75</v>
      </c>
      <c r="H17" s="13" t="s">
        <v>69</v>
      </c>
      <c r="I17" s="13">
        <f>SUMIF(Mercado_Receita!$S$2:$S$352,"44440B1ConvencionalResidencialResidencialNão se aplicaNão se aplicaPonta",Mercado_Receita!$L$2:$L$352)+SUMIF(Mercado_Receita!$S$2:$S$352,"44440B1ConvencionalResidencialResidencialNão se aplicaNão se aplicaFora ponta",Mercado_Receita!$L$2:$L$352)+SUMIF(Mercado_Receita!$S$2:$S$352,"44440B1ConvencionalResidencialResidencialNão se aplicaNão se aplicaIntermediário",Mercado_Receita!$L$2:$L$352)+SUMIF(Mercado_Receita!$S$2:$S$352,"44440B1ConvencionalResidencialResidencialNão se aplicaNão se aplicaNão se aplica",Mercado_Receita!$L$2:$L$352)</f>
        <v>486.66800000000001</v>
      </c>
      <c r="J17" s="13">
        <f>SUMIF(Mercado_Receita!$S$2:$S$352,"44470B1ConvencionalResidencialResidencialNão se aplicaNão se aplicaPonta",Mercado_Receita!$L$2:$L$352)+SUMIF(Mercado_Receita!$S$2:$S$352,"44470B1ConvencionalResidencialResidencialNão se aplicaNão se aplicaFora ponta",Mercado_Receita!$L$2:$L$352)+SUMIF(Mercado_Receita!$S$2:$S$352,"44470B1ConvencionalResidencialResidencialNão se aplicaNão se aplicaIntermediário",Mercado_Receita!$L$2:$L$352)+SUMIF(Mercado_Receita!$S$2:$S$352,"44470B1ConvencionalResidencialResidencialNão se aplicaNão se aplicaNão se aplica",Mercado_Receita!$L$2:$L$352)</f>
        <v>534.678</v>
      </c>
      <c r="K17" s="13">
        <f>SUMIF(Mercado_Receita!$S$2:$S$352,"44501B1ConvencionalResidencialResidencialNão se aplicaNão se aplicaPonta",Mercado_Receita!$L$2:$L$352)+SUMIF(Mercado_Receita!$S$2:$S$352,"44501B1ConvencionalResidencialResidencialNão se aplicaNão se aplicaFora ponta",Mercado_Receita!$L$2:$L$352)+SUMIF(Mercado_Receita!$S$2:$S$352,"44501B1ConvencionalResidencialResidencialNão se aplicaNão se aplicaIntermediário",Mercado_Receita!$L$2:$L$352)+SUMIF(Mercado_Receita!$S$2:$S$352,"44501B1ConvencionalResidencialResidencialNão se aplicaNão se aplicaNão se aplica",Mercado_Receita!$L$2:$L$352)</f>
        <v>508.20299999999997</v>
      </c>
      <c r="L17" s="13">
        <f>SUMIF(Mercado_Receita!$S$2:$S$352,"44531B1ConvencionalResidencialResidencialNão se aplicaNão se aplicaPonta",Mercado_Receita!$L$2:$L$352)+SUMIF(Mercado_Receita!$S$2:$S$352,"44531B1ConvencionalResidencialResidencialNão se aplicaNão se aplicaFora ponta",Mercado_Receita!$L$2:$L$352)+SUMIF(Mercado_Receita!$S$2:$S$352,"44531B1ConvencionalResidencialResidencialNão se aplicaNão se aplicaIntermediário",Mercado_Receita!$L$2:$L$352)+SUMIF(Mercado_Receita!$S$2:$S$352,"44531B1ConvencionalResidencialResidencialNão se aplicaNão se aplicaNão se aplica",Mercado_Receita!$L$2:$L$352)</f>
        <v>500.95699999999994</v>
      </c>
      <c r="M17" s="13">
        <f>SUMIF(Mercado_Receita!$S$2:$S$352,"44562B1ConvencionalResidencialResidencialNão se aplicaNão se aplicaPonta",Mercado_Receita!$L$2:$L$352)+SUMIF(Mercado_Receita!$S$2:$S$352,"44562B1ConvencionalResidencialResidencialNão se aplicaNão se aplicaFora ponta",Mercado_Receita!$L$2:$L$352)+SUMIF(Mercado_Receita!$S$2:$S$352,"44562B1ConvencionalResidencialResidencialNão se aplicaNão se aplicaIntermediário",Mercado_Receita!$L$2:$L$352)+SUMIF(Mercado_Receita!$S$2:$S$352,"44562B1ConvencionalResidencialResidencialNão se aplicaNão se aplicaNão se aplica",Mercado_Receita!$L$2:$L$352)</f>
        <v>573.04999999999995</v>
      </c>
      <c r="N17" s="13">
        <f>SUMIF(Mercado_Receita!$S$2:$S$352,"44593B1ConvencionalResidencialResidencialNão se aplicaNão se aplicaPonta",Mercado_Receita!$L$2:$L$352)+SUMIF(Mercado_Receita!$S$2:$S$352,"44593B1ConvencionalResidencialResidencialNão se aplicaNão se aplicaFora ponta",Mercado_Receita!$L$2:$L$352)+SUMIF(Mercado_Receita!$S$2:$S$352,"44593B1ConvencionalResidencialResidencialNão se aplicaNão se aplicaIntermediário",Mercado_Receita!$L$2:$L$352)+SUMIF(Mercado_Receita!$S$2:$S$352,"44593B1ConvencionalResidencialResidencialNão se aplicaNão se aplicaNão se aplica",Mercado_Receita!$L$2:$L$352)</f>
        <v>667.96100000000001</v>
      </c>
      <c r="O17" s="13">
        <f>SUMIF(Mercado_Receita!$S$2:$S$352,"44621B1ConvencionalResidencialResidencialNão se aplicaNão se aplicaPonta",Mercado_Receita!$L$2:$L$352)+SUMIF(Mercado_Receita!$S$2:$S$352,"44621B1ConvencionalResidencialResidencialNão se aplicaNão se aplicaFora ponta",Mercado_Receita!$L$2:$L$352)+SUMIF(Mercado_Receita!$S$2:$S$352,"44621B1ConvencionalResidencialResidencialNão se aplicaNão se aplicaIntermediário",Mercado_Receita!$L$2:$L$352)+SUMIF(Mercado_Receita!$S$2:$S$352,"44621B1ConvencionalResidencialResidencialNão se aplicaNão se aplicaNão se aplica",Mercado_Receita!$L$2:$L$352)</f>
        <v>592.17200000000003</v>
      </c>
      <c r="P17" s="13">
        <f>SUMIF(Mercado_Receita!$S$2:$S$352,"44652B1ConvencionalResidencialResidencialNão se aplicaNão se aplicaPonta",Mercado_Receita!$L$2:$L$352)+SUMIF(Mercado_Receita!$S$2:$S$352,"44652B1ConvencionalResidencialResidencialNão se aplicaNão se aplicaFora ponta",Mercado_Receita!$L$2:$L$352)+SUMIF(Mercado_Receita!$S$2:$S$352,"44652B1ConvencionalResidencialResidencialNão se aplicaNão se aplicaIntermediário",Mercado_Receita!$L$2:$L$352)+SUMIF(Mercado_Receita!$S$2:$S$352,"44652B1ConvencionalResidencialResidencialNão se aplicaNão se aplicaNão se aplica",Mercado_Receita!$L$2:$L$352)</f>
        <v>522.36900000000014</v>
      </c>
      <c r="Q17" s="13">
        <f>SUMIF(Mercado_Receita!$S$2:$S$352,"44682B1ConvencionalResidencialResidencialNão se aplicaNão se aplicaPonta",Mercado_Receita!$L$2:$L$352)+SUMIF(Mercado_Receita!$S$2:$S$352,"44682B1ConvencionalResidencialResidencialNão se aplicaNão se aplicaFora ponta",Mercado_Receita!$L$2:$L$352)+SUMIF(Mercado_Receita!$S$2:$S$352,"44682B1ConvencionalResidencialResidencialNão se aplicaNão se aplicaIntermediário",Mercado_Receita!$L$2:$L$352)+SUMIF(Mercado_Receita!$S$2:$S$352,"44682B1ConvencionalResidencialResidencialNão se aplicaNão se aplicaNão se aplica",Mercado_Receita!$L$2:$L$352)</f>
        <v>488.16800000000001</v>
      </c>
      <c r="R17" s="13">
        <f>SUMIF(Mercado_Receita!$S$2:$S$352,"44713B1ConvencionalResidencialResidencialNão se aplicaNão se aplicaPonta",Mercado_Receita!$L$2:$L$352)+SUMIF(Mercado_Receita!$S$2:$S$352,"44713B1ConvencionalResidencialResidencialNão se aplicaNão se aplicaFora ponta",Mercado_Receita!$L$2:$L$352)+SUMIF(Mercado_Receita!$S$2:$S$352,"44713B1ConvencionalResidencialResidencialNão se aplicaNão se aplicaIntermediário",Mercado_Receita!$L$2:$L$352)+SUMIF(Mercado_Receita!$S$2:$S$352,"44713B1ConvencionalResidencialResidencialNão se aplicaNão se aplicaNão se aplica",Mercado_Receita!$L$2:$L$352)</f>
        <v>574.32800000000009</v>
      </c>
      <c r="S17" s="13">
        <f>SUMIF(Mercado_Receita!$S$2:$S$352,"44743B1ConvencionalResidencialResidencialNão se aplicaNão se aplicaPonta",Mercado_Receita!$L$2:$L$352)+SUMIF(Mercado_Receita!$S$2:$S$352,"44743B1ConvencionalResidencialResidencialNão se aplicaNão se aplicaFora ponta",Mercado_Receita!$L$2:$L$352)+SUMIF(Mercado_Receita!$S$2:$S$352,"44743B1ConvencionalResidencialResidencialNão se aplicaNão se aplicaIntermediário",Mercado_Receita!$L$2:$L$352)+SUMIF(Mercado_Receita!$S$2:$S$352,"44743B1ConvencionalResidencialResidencialNão se aplicaNão se aplicaNão se aplica",Mercado_Receita!$L$2:$L$352)</f>
        <v>588.83100000000002</v>
      </c>
      <c r="T17" s="13">
        <f>SUMIF(Mercado_Receita!$S$2:$S$352,"44774B1ConvencionalResidencialResidencialNão se aplicaNão se aplicaPonta",Mercado_Receita!$L$2:$L$352)+SUMIF(Mercado_Receita!$S$2:$S$352,"44774B1ConvencionalResidencialResidencialNão se aplicaNão se aplicaFora ponta",Mercado_Receita!$L$2:$L$352)+SUMIF(Mercado_Receita!$S$2:$S$352,"44774B1ConvencionalResidencialResidencialNão se aplicaNão se aplicaIntermediário",Mercado_Receita!$L$2:$L$352)+SUMIF(Mercado_Receita!$S$2:$S$352,"44774B1ConvencionalResidencialResidencialNão se aplicaNão se aplicaNão se aplica",Mercado_Receita!$L$2:$L$352)</f>
        <v>588.83100000000002</v>
      </c>
      <c r="U17" s="13">
        <f t="shared" si="0"/>
        <v>6626.2160000000003</v>
      </c>
      <c r="V17" s="13"/>
      <c r="W17" s="13"/>
    </row>
    <row r="18" spans="1:23" ht="11.25" customHeight="1" x14ac:dyDescent="0.3">
      <c r="A18" s="74"/>
      <c r="B18" s="74"/>
      <c r="C18" s="74"/>
      <c r="D18" s="12" t="s">
        <v>29</v>
      </c>
      <c r="E18" s="12" t="s">
        <v>25</v>
      </c>
      <c r="F18" s="12" t="s">
        <v>25</v>
      </c>
      <c r="G18" s="13" t="s">
        <v>75</v>
      </c>
      <c r="H18" s="13" t="s">
        <v>69</v>
      </c>
      <c r="I18" s="13">
        <f>SUMIF(Mercado_Receita!$S$2:$S$352,"44440B1ConvencionalResidencialResidencial baixa renda – faixa 01Não se aplicaNão se aplicaPonta",Mercado_Receita!$L$2:$L$352)+SUMIF(Mercado_Receita!$S$2:$S$352,"44440B1ConvencionalResidencialResidencial baixa renda – faixa 01Não se aplicaNão se aplicaFora ponta",Mercado_Receita!$L$2:$L$352)+SUMIF(Mercado_Receita!$S$2:$S$352,"44440B1ConvencionalResidencialResidencial baixa renda – faixa 01Não se aplicaNão se aplicaIntermediário",Mercado_Receita!$L$2:$L$352)+SUMIF(Mercado_Receita!$S$2:$S$352,"44440B1ConvencionalResidencialResidencial baixa renda – faixa 01Não se aplicaNão se aplicaNão se aplica",Mercado_Receita!$L$2:$L$352)</f>
        <v>3.93</v>
      </c>
      <c r="J18" s="13">
        <f>SUMIF(Mercado_Receita!$S$2:$S$352,"44470B1ConvencionalResidencialResidencial baixa renda – faixa 01Não se aplicaNão se aplicaPonta",Mercado_Receita!$L$2:$L$352)+SUMIF(Mercado_Receita!$S$2:$S$352,"44470B1ConvencionalResidencialResidencial baixa renda – faixa 01Não se aplicaNão se aplicaFora ponta",Mercado_Receita!$L$2:$L$352)+SUMIF(Mercado_Receita!$S$2:$S$352,"44470B1ConvencionalResidencialResidencial baixa renda – faixa 01Não se aplicaNão se aplicaIntermediário",Mercado_Receita!$L$2:$L$352)+SUMIF(Mercado_Receita!$S$2:$S$352,"44470B1ConvencionalResidencialResidencial baixa renda – faixa 01Não se aplicaNão se aplicaNão se aplica",Mercado_Receita!$L$2:$L$352)</f>
        <v>4.05</v>
      </c>
      <c r="K18" s="13">
        <f>SUMIF(Mercado_Receita!$S$2:$S$352,"44501B1ConvencionalResidencialResidencial baixa renda – faixa 01Não se aplicaNão se aplicaPonta",Mercado_Receita!$L$2:$L$352)+SUMIF(Mercado_Receita!$S$2:$S$352,"44501B1ConvencionalResidencialResidencial baixa renda – faixa 01Não se aplicaNão se aplicaFora ponta",Mercado_Receita!$L$2:$L$352)+SUMIF(Mercado_Receita!$S$2:$S$352,"44501B1ConvencionalResidencialResidencial baixa renda – faixa 01Não se aplicaNão se aplicaIntermediário",Mercado_Receita!$L$2:$L$352)+SUMIF(Mercado_Receita!$S$2:$S$352,"44501B1ConvencionalResidencialResidencial baixa renda – faixa 01Não se aplicaNão se aplicaNão se aplica",Mercado_Receita!$L$2:$L$352)</f>
        <v>4.08</v>
      </c>
      <c r="L18" s="13">
        <f>SUMIF(Mercado_Receita!$S$2:$S$352,"44531B1ConvencionalResidencialResidencial baixa renda – faixa 01Não se aplicaNão se aplicaPonta",Mercado_Receita!$L$2:$L$352)+SUMIF(Mercado_Receita!$S$2:$S$352,"44531B1ConvencionalResidencialResidencial baixa renda – faixa 01Não se aplicaNão se aplicaFora ponta",Mercado_Receita!$L$2:$L$352)+SUMIF(Mercado_Receita!$S$2:$S$352,"44531B1ConvencionalResidencialResidencial baixa renda – faixa 01Não se aplicaNão se aplicaIntermediário",Mercado_Receita!$L$2:$L$352)+SUMIF(Mercado_Receita!$S$2:$S$352,"44531B1ConvencionalResidencialResidencial baixa renda – faixa 01Não se aplicaNão se aplicaNão se aplica",Mercado_Receita!$L$2:$L$352)</f>
        <v>4.17</v>
      </c>
      <c r="M18" s="13">
        <f>SUMIF(Mercado_Receita!$S$2:$S$352,"44562B1ConvencionalResidencialResidencial baixa renda – faixa 01Não se aplicaNão se aplicaPonta",Mercado_Receita!$L$2:$L$352)+SUMIF(Mercado_Receita!$S$2:$S$352,"44562B1ConvencionalResidencialResidencial baixa renda – faixa 01Não se aplicaNão se aplicaFora ponta",Mercado_Receita!$L$2:$L$352)+SUMIF(Mercado_Receita!$S$2:$S$352,"44562B1ConvencionalResidencialResidencial baixa renda – faixa 01Não se aplicaNão se aplicaIntermediário",Mercado_Receita!$L$2:$L$352)+SUMIF(Mercado_Receita!$S$2:$S$352,"44562B1ConvencionalResidencialResidencial baixa renda – faixa 01Não se aplicaNão se aplicaNão se aplica",Mercado_Receita!$L$2:$L$352)</f>
        <v>4.2300000000000004</v>
      </c>
      <c r="N18" s="13">
        <f>SUMIF(Mercado_Receita!$S$2:$S$352,"44593B1ConvencionalResidencialResidencial baixa renda – faixa 01Não se aplicaNão se aplicaPonta",Mercado_Receita!$L$2:$L$352)+SUMIF(Mercado_Receita!$S$2:$S$352,"44593B1ConvencionalResidencialResidencial baixa renda – faixa 01Não se aplicaNão se aplicaFora ponta",Mercado_Receita!$L$2:$L$352)+SUMIF(Mercado_Receita!$S$2:$S$352,"44593B1ConvencionalResidencialResidencial baixa renda – faixa 01Não se aplicaNão se aplicaIntermediário",Mercado_Receita!$L$2:$L$352)+SUMIF(Mercado_Receita!$S$2:$S$352,"44593B1ConvencionalResidencialResidencial baixa renda – faixa 01Não se aplicaNão se aplicaNão se aplica",Mercado_Receita!$L$2:$L$352)</f>
        <v>4.41</v>
      </c>
      <c r="O18" s="13">
        <f>SUMIF(Mercado_Receita!$S$2:$S$352,"44621B1ConvencionalResidencialResidencial baixa renda – faixa 01Não se aplicaNão se aplicaPonta",Mercado_Receita!$L$2:$L$352)+SUMIF(Mercado_Receita!$S$2:$S$352,"44621B1ConvencionalResidencialResidencial baixa renda – faixa 01Não se aplicaNão se aplicaFora ponta",Mercado_Receita!$L$2:$L$352)+SUMIF(Mercado_Receita!$S$2:$S$352,"44621B1ConvencionalResidencialResidencial baixa renda – faixa 01Não se aplicaNão se aplicaIntermediário",Mercado_Receita!$L$2:$L$352)+SUMIF(Mercado_Receita!$S$2:$S$352,"44621B1ConvencionalResidencialResidencial baixa renda – faixa 01Não se aplicaNão se aplicaNão se aplica",Mercado_Receita!$L$2:$L$352)</f>
        <v>4.5600000000000005</v>
      </c>
      <c r="P18" s="13">
        <f>SUMIF(Mercado_Receita!$S$2:$S$352,"44652B1ConvencionalResidencialResidencial baixa renda – faixa 01Não se aplicaNão se aplicaPonta",Mercado_Receita!$L$2:$L$352)+SUMIF(Mercado_Receita!$S$2:$S$352,"44652B1ConvencionalResidencialResidencial baixa renda – faixa 01Não se aplicaNão se aplicaFora ponta",Mercado_Receita!$L$2:$L$352)+SUMIF(Mercado_Receita!$S$2:$S$352,"44652B1ConvencionalResidencialResidencial baixa renda – faixa 01Não se aplicaNão se aplicaIntermediário",Mercado_Receita!$L$2:$L$352)+SUMIF(Mercado_Receita!$S$2:$S$352,"44652B1ConvencionalResidencialResidencial baixa renda – faixa 01Não se aplicaNão se aplicaNão se aplica",Mercado_Receita!$L$2:$L$352)</f>
        <v>5.19</v>
      </c>
      <c r="Q18" s="13">
        <f>SUMIF(Mercado_Receita!$S$2:$S$352,"44682B1ConvencionalResidencialResidencial baixa renda – faixa 01Não se aplicaNão se aplicaPonta",Mercado_Receita!$L$2:$L$352)+SUMIF(Mercado_Receita!$S$2:$S$352,"44682B1ConvencionalResidencialResidencial baixa renda – faixa 01Não se aplicaNão se aplicaFora ponta",Mercado_Receita!$L$2:$L$352)+SUMIF(Mercado_Receita!$S$2:$S$352,"44682B1ConvencionalResidencialResidencial baixa renda – faixa 01Não se aplicaNão se aplicaIntermediário",Mercado_Receita!$L$2:$L$352)+SUMIF(Mercado_Receita!$S$2:$S$352,"44682B1ConvencionalResidencialResidencial baixa renda – faixa 01Não se aplicaNão se aplicaNão se aplica",Mercado_Receita!$L$2:$L$352)</f>
        <v>5.58</v>
      </c>
      <c r="R18" s="13">
        <f>SUMIF(Mercado_Receita!$S$2:$S$352,"44713B1ConvencionalResidencialResidencial baixa renda – faixa 01Não se aplicaNão se aplicaPonta",Mercado_Receita!$L$2:$L$352)+SUMIF(Mercado_Receita!$S$2:$S$352,"44713B1ConvencionalResidencialResidencial baixa renda – faixa 01Não se aplicaNão se aplicaFora ponta",Mercado_Receita!$L$2:$L$352)+SUMIF(Mercado_Receita!$S$2:$S$352,"44713B1ConvencionalResidencialResidencial baixa renda – faixa 01Não se aplicaNão se aplicaIntermediário",Mercado_Receita!$L$2:$L$352)+SUMIF(Mercado_Receita!$S$2:$S$352,"44713B1ConvencionalResidencialResidencial baixa renda – faixa 01Não se aplicaNão se aplicaNão se aplica",Mercado_Receita!$L$2:$L$352)</f>
        <v>5.58</v>
      </c>
      <c r="S18" s="13">
        <f>SUMIF(Mercado_Receita!$S$2:$S$352,"44743B1ConvencionalResidencialResidencial baixa renda – faixa 01Não se aplicaNão se aplicaPonta",Mercado_Receita!$L$2:$L$352)+SUMIF(Mercado_Receita!$S$2:$S$352,"44743B1ConvencionalResidencialResidencial baixa renda – faixa 01Não se aplicaNão se aplicaFora ponta",Mercado_Receita!$L$2:$L$352)+SUMIF(Mercado_Receita!$S$2:$S$352,"44743B1ConvencionalResidencialResidencial baixa renda – faixa 01Não se aplicaNão se aplicaIntermediário",Mercado_Receita!$L$2:$L$352)+SUMIF(Mercado_Receita!$S$2:$S$352,"44743B1ConvencionalResidencialResidencial baixa renda – faixa 01Não se aplicaNão se aplicaNão se aplica",Mercado_Receita!$L$2:$L$352)</f>
        <v>5.52</v>
      </c>
      <c r="T18" s="13">
        <f>SUMIF(Mercado_Receita!$S$2:$S$352,"44774B1ConvencionalResidencialResidencial baixa renda – faixa 01Não se aplicaNão se aplicaPonta",Mercado_Receita!$L$2:$L$352)+SUMIF(Mercado_Receita!$S$2:$S$352,"44774B1ConvencionalResidencialResidencial baixa renda – faixa 01Não se aplicaNão se aplicaFora ponta",Mercado_Receita!$L$2:$L$352)+SUMIF(Mercado_Receita!$S$2:$S$352,"44774B1ConvencionalResidencialResidencial baixa renda – faixa 01Não se aplicaNão se aplicaIntermediário",Mercado_Receita!$L$2:$L$352)+SUMIF(Mercado_Receita!$S$2:$S$352,"44774B1ConvencionalResidencialResidencial baixa renda – faixa 01Não se aplicaNão se aplicaNão se aplica",Mercado_Receita!$L$2:$L$352)</f>
        <v>5.52</v>
      </c>
      <c r="U18" s="13">
        <f t="shared" si="0"/>
        <v>56.819999999999993</v>
      </c>
      <c r="V18" s="13"/>
      <c r="W18" s="13"/>
    </row>
    <row r="19" spans="1:23" ht="11.25" customHeight="1" x14ac:dyDescent="0.3">
      <c r="A19" s="74"/>
      <c r="B19" s="74"/>
      <c r="C19" s="74"/>
      <c r="D19" s="12" t="s">
        <v>30</v>
      </c>
      <c r="E19" s="12" t="s">
        <v>25</v>
      </c>
      <c r="F19" s="12" t="s">
        <v>25</v>
      </c>
      <c r="G19" s="13" t="s">
        <v>75</v>
      </c>
      <c r="H19" s="13" t="s">
        <v>69</v>
      </c>
      <c r="I19" s="13">
        <f>SUMIF(Mercado_Receita!$S$2:$S$352,"44440B1ConvencionalResidencialResidencial baixa renda – faixa 02Não se aplicaNão se aplicaPonta",Mercado_Receita!$L$2:$L$352)+SUMIF(Mercado_Receita!$S$2:$S$352,"44440B1ConvencionalResidencialResidencial baixa renda – faixa 02Não se aplicaNão se aplicaFora ponta",Mercado_Receita!$L$2:$L$352)+SUMIF(Mercado_Receita!$S$2:$S$352,"44440B1ConvencionalResidencialResidencial baixa renda – faixa 02Não se aplicaNão se aplicaIntermediário",Mercado_Receita!$L$2:$L$352)+SUMIF(Mercado_Receita!$S$2:$S$352,"44440B1ConvencionalResidencialResidencial baixa renda – faixa 02Não se aplicaNão se aplicaNão se aplica",Mercado_Receita!$L$2:$L$352)</f>
        <v>7.4210000000000003</v>
      </c>
      <c r="J19" s="13">
        <f>SUMIF(Mercado_Receita!$S$2:$S$352,"44470B1ConvencionalResidencialResidencial baixa renda – faixa 02Não se aplicaNão se aplicaPonta",Mercado_Receita!$L$2:$L$352)+SUMIF(Mercado_Receita!$S$2:$S$352,"44470B1ConvencionalResidencialResidencial baixa renda – faixa 02Não se aplicaNão se aplicaFora ponta",Mercado_Receita!$L$2:$L$352)+SUMIF(Mercado_Receita!$S$2:$S$352,"44470B1ConvencionalResidencialResidencial baixa renda – faixa 02Não se aplicaNão se aplicaIntermediário",Mercado_Receita!$L$2:$L$352)+SUMIF(Mercado_Receita!$S$2:$S$352,"44470B1ConvencionalResidencialResidencial baixa renda – faixa 02Não se aplicaNão se aplicaNão se aplica",Mercado_Receita!$L$2:$L$352)</f>
        <v>8.0079999999999991</v>
      </c>
      <c r="K19" s="13">
        <f>SUMIF(Mercado_Receita!$S$2:$S$352,"44501B1ConvencionalResidencialResidencial baixa renda – faixa 02Não se aplicaNão se aplicaPonta",Mercado_Receita!$L$2:$L$352)+SUMIF(Mercado_Receita!$S$2:$S$352,"44501B1ConvencionalResidencialResidencial baixa renda – faixa 02Não se aplicaNão se aplicaFora ponta",Mercado_Receita!$L$2:$L$352)+SUMIF(Mercado_Receita!$S$2:$S$352,"44501B1ConvencionalResidencialResidencial baixa renda – faixa 02Não se aplicaNão se aplicaIntermediário",Mercado_Receita!$L$2:$L$352)+SUMIF(Mercado_Receita!$S$2:$S$352,"44501B1ConvencionalResidencialResidencial baixa renda – faixa 02Não se aplicaNão se aplicaNão se aplica",Mercado_Receita!$L$2:$L$352)</f>
        <v>8.048</v>
      </c>
      <c r="L19" s="13">
        <f>SUMIF(Mercado_Receita!$S$2:$S$352,"44531B1ConvencionalResidencialResidencial baixa renda – faixa 02Não se aplicaNão se aplicaPonta",Mercado_Receita!$L$2:$L$352)+SUMIF(Mercado_Receita!$S$2:$S$352,"44531B1ConvencionalResidencialResidencial baixa renda – faixa 02Não se aplicaNão se aplicaFora ponta",Mercado_Receita!$L$2:$L$352)+SUMIF(Mercado_Receita!$S$2:$S$352,"44531B1ConvencionalResidencialResidencial baixa renda – faixa 02Não se aplicaNão se aplicaIntermediário",Mercado_Receita!$L$2:$L$352)+SUMIF(Mercado_Receita!$S$2:$S$352,"44531B1ConvencionalResidencialResidencial baixa renda – faixa 02Não se aplicaNão se aplicaNão se aplica",Mercado_Receita!$L$2:$L$352)</f>
        <v>8.4770000000000003</v>
      </c>
      <c r="M19" s="13">
        <f>SUMIF(Mercado_Receita!$S$2:$S$352,"44562B1ConvencionalResidencialResidencial baixa renda – faixa 02Não se aplicaNão se aplicaPonta",Mercado_Receita!$L$2:$L$352)+SUMIF(Mercado_Receita!$S$2:$S$352,"44562B1ConvencionalResidencialResidencial baixa renda – faixa 02Não se aplicaNão se aplicaFora ponta",Mercado_Receita!$L$2:$L$352)+SUMIF(Mercado_Receita!$S$2:$S$352,"44562B1ConvencionalResidencialResidencial baixa renda – faixa 02Não se aplicaNão se aplicaIntermediário",Mercado_Receita!$L$2:$L$352)+SUMIF(Mercado_Receita!$S$2:$S$352,"44562B1ConvencionalResidencialResidencial baixa renda – faixa 02Não se aplicaNão se aplicaNão se aplica",Mercado_Receita!$L$2:$L$352)</f>
        <v>8.7029999999999994</v>
      </c>
      <c r="N19" s="13">
        <f>SUMIF(Mercado_Receita!$S$2:$S$352,"44593B1ConvencionalResidencialResidencial baixa renda – faixa 02Não se aplicaNão se aplicaPonta",Mercado_Receita!$L$2:$L$352)+SUMIF(Mercado_Receita!$S$2:$S$352,"44593B1ConvencionalResidencialResidencial baixa renda – faixa 02Não se aplicaNão se aplicaFora ponta",Mercado_Receita!$L$2:$L$352)+SUMIF(Mercado_Receita!$S$2:$S$352,"44593B1ConvencionalResidencialResidencial baixa renda – faixa 02Não se aplicaNão se aplicaIntermediário",Mercado_Receita!$L$2:$L$352)+SUMIF(Mercado_Receita!$S$2:$S$352,"44593B1ConvencionalResidencialResidencial baixa renda – faixa 02Não se aplicaNão se aplicaNão se aplica",Mercado_Receita!$L$2:$L$352)</f>
        <v>9.3819999999999997</v>
      </c>
      <c r="O19" s="13">
        <f>SUMIF(Mercado_Receita!$S$2:$S$352,"44621B1ConvencionalResidencialResidencial baixa renda – faixa 02Não se aplicaNão se aplicaPonta",Mercado_Receita!$L$2:$L$352)+SUMIF(Mercado_Receita!$S$2:$S$352,"44621B1ConvencionalResidencialResidencial baixa renda – faixa 02Não se aplicaNão se aplicaFora ponta",Mercado_Receita!$L$2:$L$352)+SUMIF(Mercado_Receita!$S$2:$S$352,"44621B1ConvencionalResidencialResidencial baixa renda – faixa 02Não se aplicaNão se aplicaIntermediário",Mercado_Receita!$L$2:$L$352)+SUMIF(Mercado_Receita!$S$2:$S$352,"44621B1ConvencionalResidencialResidencial baixa renda – faixa 02Não se aplicaNão se aplicaNão se aplica",Mercado_Receita!$L$2:$L$352)</f>
        <v>9.468</v>
      </c>
      <c r="P19" s="13">
        <f>SUMIF(Mercado_Receita!$S$2:$S$352,"44652B1ConvencionalResidencialResidencial baixa renda – faixa 02Não se aplicaNão se aplicaPonta",Mercado_Receita!$L$2:$L$352)+SUMIF(Mercado_Receita!$S$2:$S$352,"44652B1ConvencionalResidencialResidencial baixa renda – faixa 02Não se aplicaNão se aplicaFora ponta",Mercado_Receita!$L$2:$L$352)+SUMIF(Mercado_Receita!$S$2:$S$352,"44652B1ConvencionalResidencialResidencial baixa renda – faixa 02Não se aplicaNão se aplicaIntermediário",Mercado_Receita!$L$2:$L$352)+SUMIF(Mercado_Receita!$S$2:$S$352,"44652B1ConvencionalResidencialResidencial baixa renda – faixa 02Não se aplicaNão se aplicaNão se aplica",Mercado_Receita!$L$2:$L$352)</f>
        <v>10.208</v>
      </c>
      <c r="Q19" s="13">
        <f>SUMIF(Mercado_Receita!$S$2:$S$352,"44682B1ConvencionalResidencialResidencial baixa renda – faixa 02Não se aplicaNão se aplicaPonta",Mercado_Receita!$L$2:$L$352)+SUMIF(Mercado_Receita!$S$2:$S$352,"44682B1ConvencionalResidencialResidencial baixa renda – faixa 02Não se aplicaNão se aplicaFora ponta",Mercado_Receita!$L$2:$L$352)+SUMIF(Mercado_Receita!$S$2:$S$352,"44682B1ConvencionalResidencialResidencial baixa renda – faixa 02Não se aplicaNão se aplicaIntermediário",Mercado_Receita!$L$2:$L$352)+SUMIF(Mercado_Receita!$S$2:$S$352,"44682B1ConvencionalResidencialResidencial baixa renda – faixa 02Não se aplicaNão se aplicaNão se aplica",Mercado_Receita!$L$2:$L$352)</f>
        <v>11.129</v>
      </c>
      <c r="R19" s="13">
        <f>SUMIF(Mercado_Receita!$S$2:$S$352,"44713B1ConvencionalResidencialResidencial baixa renda – faixa 02Não se aplicaNão se aplicaPonta",Mercado_Receita!$L$2:$L$352)+SUMIF(Mercado_Receita!$S$2:$S$352,"44713B1ConvencionalResidencialResidencial baixa renda – faixa 02Não se aplicaNão se aplicaFora ponta",Mercado_Receita!$L$2:$L$352)+SUMIF(Mercado_Receita!$S$2:$S$352,"44713B1ConvencionalResidencialResidencial baixa renda – faixa 02Não se aplicaNão se aplicaIntermediário",Mercado_Receita!$L$2:$L$352)+SUMIF(Mercado_Receita!$S$2:$S$352,"44713B1ConvencionalResidencialResidencial baixa renda – faixa 02Não se aplicaNão se aplicaNão se aplica",Mercado_Receita!$L$2:$L$352)</f>
        <v>11.378</v>
      </c>
      <c r="S19" s="13">
        <f>SUMIF(Mercado_Receita!$S$2:$S$352,"44743B1ConvencionalResidencialResidencial baixa renda – faixa 02Não se aplicaNão se aplicaPonta",Mercado_Receita!$L$2:$L$352)+SUMIF(Mercado_Receita!$S$2:$S$352,"44743B1ConvencionalResidencialResidencial baixa renda – faixa 02Não se aplicaNão se aplicaFora ponta",Mercado_Receita!$L$2:$L$352)+SUMIF(Mercado_Receita!$S$2:$S$352,"44743B1ConvencionalResidencialResidencial baixa renda – faixa 02Não se aplicaNão se aplicaIntermediário",Mercado_Receita!$L$2:$L$352)+SUMIF(Mercado_Receita!$S$2:$S$352,"44743B1ConvencionalResidencialResidencial baixa renda – faixa 02Não se aplicaNão se aplicaNão se aplica",Mercado_Receita!$L$2:$L$352)</f>
        <v>11.169</v>
      </c>
      <c r="T19" s="13">
        <f>SUMIF(Mercado_Receita!$S$2:$S$352,"44774B1ConvencionalResidencialResidencial baixa renda – faixa 02Não se aplicaNão se aplicaPonta",Mercado_Receita!$L$2:$L$352)+SUMIF(Mercado_Receita!$S$2:$S$352,"44774B1ConvencionalResidencialResidencial baixa renda – faixa 02Não se aplicaNão se aplicaFora ponta",Mercado_Receita!$L$2:$L$352)+SUMIF(Mercado_Receita!$S$2:$S$352,"44774B1ConvencionalResidencialResidencial baixa renda – faixa 02Não se aplicaNão se aplicaIntermediário",Mercado_Receita!$L$2:$L$352)+SUMIF(Mercado_Receita!$S$2:$S$352,"44774B1ConvencionalResidencialResidencial baixa renda – faixa 02Não se aplicaNão se aplicaNão se aplica",Mercado_Receita!$L$2:$L$352)</f>
        <v>11.169</v>
      </c>
      <c r="U19" s="13">
        <f t="shared" si="0"/>
        <v>114.55999999999999</v>
      </c>
      <c r="V19" s="13"/>
      <c r="W19" s="13"/>
    </row>
    <row r="20" spans="1:23" ht="11.25" customHeight="1" x14ac:dyDescent="0.3">
      <c r="A20" s="74"/>
      <c r="B20" s="74"/>
      <c r="C20" s="74"/>
      <c r="D20" s="12" t="s">
        <v>31</v>
      </c>
      <c r="E20" s="12" t="s">
        <v>25</v>
      </c>
      <c r="F20" s="12" t="s">
        <v>25</v>
      </c>
      <c r="G20" s="13" t="s">
        <v>75</v>
      </c>
      <c r="H20" s="13" t="s">
        <v>69</v>
      </c>
      <c r="I20" s="13">
        <f>SUMIF(Mercado_Receita!$S$2:$S$352,"44440B1ConvencionalResidencialResidencial baixa renda – faixa 03Não se aplicaNão se aplicaPonta",Mercado_Receita!$L$2:$L$352)+SUMIF(Mercado_Receita!$S$2:$S$352,"44440B1ConvencionalResidencialResidencial baixa renda – faixa 03Não se aplicaNão se aplicaFora ponta",Mercado_Receita!$L$2:$L$352)+SUMIF(Mercado_Receita!$S$2:$S$352,"44440B1ConvencionalResidencialResidencial baixa renda – faixa 03Não se aplicaNão se aplicaIntermediário",Mercado_Receita!$L$2:$L$352)+SUMIF(Mercado_Receita!$S$2:$S$352,"44440B1ConvencionalResidencialResidencial baixa renda – faixa 03Não se aplicaNão se aplicaNão se aplica",Mercado_Receita!$L$2:$L$352)</f>
        <v>6.57</v>
      </c>
      <c r="J20" s="13">
        <f>SUMIF(Mercado_Receita!$S$2:$S$352,"44470B1ConvencionalResidencialResidencial baixa renda – faixa 03Não se aplicaNão se aplicaPonta",Mercado_Receita!$L$2:$L$352)+SUMIF(Mercado_Receita!$S$2:$S$352,"44470B1ConvencionalResidencialResidencial baixa renda – faixa 03Não se aplicaNão se aplicaFora ponta",Mercado_Receita!$L$2:$L$352)+SUMIF(Mercado_Receita!$S$2:$S$352,"44470B1ConvencionalResidencialResidencial baixa renda – faixa 03Não se aplicaNão se aplicaIntermediário",Mercado_Receita!$L$2:$L$352)+SUMIF(Mercado_Receita!$S$2:$S$352,"44470B1ConvencionalResidencialResidencial baixa renda – faixa 03Não se aplicaNão se aplicaNão se aplica",Mercado_Receita!$L$2:$L$352)</f>
        <v>8.2279999999999998</v>
      </c>
      <c r="K20" s="13">
        <f>SUMIF(Mercado_Receita!$S$2:$S$352,"44501B1ConvencionalResidencialResidencial baixa renda – faixa 03Não se aplicaNão se aplicaPonta",Mercado_Receita!$L$2:$L$352)+SUMIF(Mercado_Receita!$S$2:$S$352,"44501B1ConvencionalResidencialResidencial baixa renda – faixa 03Não se aplicaNão se aplicaFora ponta",Mercado_Receita!$L$2:$L$352)+SUMIF(Mercado_Receita!$S$2:$S$352,"44501B1ConvencionalResidencialResidencial baixa renda – faixa 03Não se aplicaNão se aplicaIntermediário",Mercado_Receita!$L$2:$L$352)+SUMIF(Mercado_Receita!$S$2:$S$352,"44501B1ConvencionalResidencialResidencial baixa renda – faixa 03Não se aplicaNão se aplicaNão se aplica",Mercado_Receita!$L$2:$L$352)</f>
        <v>7.726</v>
      </c>
      <c r="L20" s="13">
        <f>SUMIF(Mercado_Receita!$S$2:$S$352,"44531B1ConvencionalResidencialResidencial baixa renda – faixa 03Não se aplicaNão se aplicaPonta",Mercado_Receita!$L$2:$L$352)+SUMIF(Mercado_Receita!$S$2:$S$352,"44531B1ConvencionalResidencialResidencial baixa renda – faixa 03Não se aplicaNão se aplicaFora ponta",Mercado_Receita!$L$2:$L$352)+SUMIF(Mercado_Receita!$S$2:$S$352,"44531B1ConvencionalResidencialResidencial baixa renda – faixa 03Não se aplicaNão se aplicaIntermediário",Mercado_Receita!$L$2:$L$352)+SUMIF(Mercado_Receita!$S$2:$S$352,"44531B1ConvencionalResidencialResidencial baixa renda – faixa 03Não se aplicaNão se aplicaNão se aplica",Mercado_Receita!$L$2:$L$352)</f>
        <v>7.9729999999999999</v>
      </c>
      <c r="M20" s="13">
        <f>SUMIF(Mercado_Receita!$S$2:$S$352,"44562B1ConvencionalResidencialResidencial baixa renda – faixa 03Não se aplicaNão se aplicaPonta",Mercado_Receita!$L$2:$L$352)+SUMIF(Mercado_Receita!$S$2:$S$352,"44562B1ConvencionalResidencialResidencial baixa renda – faixa 03Não se aplicaNão se aplicaFora ponta",Mercado_Receita!$L$2:$L$352)+SUMIF(Mercado_Receita!$S$2:$S$352,"44562B1ConvencionalResidencialResidencial baixa renda – faixa 03Não se aplicaNão se aplicaIntermediário",Mercado_Receita!$L$2:$L$352)+SUMIF(Mercado_Receita!$S$2:$S$352,"44562B1ConvencionalResidencialResidencial baixa renda – faixa 03Não se aplicaNão se aplicaNão se aplica",Mercado_Receita!$L$2:$L$352)</f>
        <v>9.3420000000000005</v>
      </c>
      <c r="N20" s="13">
        <f>SUMIF(Mercado_Receita!$S$2:$S$352,"44593B1ConvencionalResidencialResidencial baixa renda – faixa 03Não se aplicaNão se aplicaPonta",Mercado_Receita!$L$2:$L$352)+SUMIF(Mercado_Receita!$S$2:$S$352,"44593B1ConvencionalResidencialResidencial baixa renda – faixa 03Não se aplicaNão se aplicaFora ponta",Mercado_Receita!$L$2:$L$352)+SUMIF(Mercado_Receita!$S$2:$S$352,"44593B1ConvencionalResidencialResidencial baixa renda – faixa 03Não se aplicaNão se aplicaIntermediário",Mercado_Receita!$L$2:$L$352)+SUMIF(Mercado_Receita!$S$2:$S$352,"44593B1ConvencionalResidencialResidencial baixa renda – faixa 03Não se aplicaNão se aplicaNão se aplica",Mercado_Receita!$L$2:$L$352)</f>
        <v>11.077</v>
      </c>
      <c r="O20" s="13">
        <f>SUMIF(Mercado_Receita!$S$2:$S$352,"44621B1ConvencionalResidencialResidencial baixa renda – faixa 03Não se aplicaNão se aplicaPonta",Mercado_Receita!$L$2:$L$352)+SUMIF(Mercado_Receita!$S$2:$S$352,"44621B1ConvencionalResidencialResidencial baixa renda – faixa 03Não se aplicaNão se aplicaFora ponta",Mercado_Receita!$L$2:$L$352)+SUMIF(Mercado_Receita!$S$2:$S$352,"44621B1ConvencionalResidencialResidencial baixa renda – faixa 03Não se aplicaNão se aplicaIntermediário",Mercado_Receita!$L$2:$L$352)+SUMIF(Mercado_Receita!$S$2:$S$352,"44621B1ConvencionalResidencialResidencial baixa renda – faixa 03Não se aplicaNão se aplicaNão se aplica",Mercado_Receita!$L$2:$L$352)</f>
        <v>9.86</v>
      </c>
      <c r="P20" s="13">
        <f>SUMIF(Mercado_Receita!$S$2:$S$352,"44652B1ConvencionalResidencialResidencial baixa renda – faixa 03Não se aplicaNão se aplicaPonta",Mercado_Receita!$L$2:$L$352)+SUMIF(Mercado_Receita!$S$2:$S$352,"44652B1ConvencionalResidencialResidencial baixa renda – faixa 03Não se aplicaNão se aplicaFora ponta",Mercado_Receita!$L$2:$L$352)+SUMIF(Mercado_Receita!$S$2:$S$352,"44652B1ConvencionalResidencialResidencial baixa renda – faixa 03Não se aplicaNão se aplicaIntermediário",Mercado_Receita!$L$2:$L$352)+SUMIF(Mercado_Receita!$S$2:$S$352,"44652B1ConvencionalResidencialResidencial baixa renda – faixa 03Não se aplicaNão se aplicaNão se aplica",Mercado_Receita!$L$2:$L$352)</f>
        <v>10.356999999999999</v>
      </c>
      <c r="Q20" s="13">
        <f>SUMIF(Mercado_Receita!$S$2:$S$352,"44682B1ConvencionalResidencialResidencial baixa renda – faixa 03Não se aplicaNão se aplicaPonta",Mercado_Receita!$L$2:$L$352)+SUMIF(Mercado_Receita!$S$2:$S$352,"44682B1ConvencionalResidencialResidencial baixa renda – faixa 03Não se aplicaNão se aplicaFora ponta",Mercado_Receita!$L$2:$L$352)+SUMIF(Mercado_Receita!$S$2:$S$352,"44682B1ConvencionalResidencialResidencial baixa renda – faixa 03Não se aplicaNão se aplicaIntermediário",Mercado_Receita!$L$2:$L$352)+SUMIF(Mercado_Receita!$S$2:$S$352,"44682B1ConvencionalResidencialResidencial baixa renda – faixa 03Não se aplicaNão se aplicaNão se aplica",Mercado_Receita!$L$2:$L$352)</f>
        <v>10.95</v>
      </c>
      <c r="R20" s="13">
        <f>SUMIF(Mercado_Receita!$S$2:$S$352,"44713B1ConvencionalResidencialResidencial baixa renda – faixa 03Não se aplicaNão se aplicaPonta",Mercado_Receita!$L$2:$L$352)+SUMIF(Mercado_Receita!$S$2:$S$352,"44713B1ConvencionalResidencialResidencial baixa renda – faixa 03Não se aplicaNão se aplicaFora ponta",Mercado_Receita!$L$2:$L$352)+SUMIF(Mercado_Receita!$S$2:$S$352,"44713B1ConvencionalResidencialResidencial baixa renda – faixa 03Não se aplicaNão se aplicaIntermediário",Mercado_Receita!$L$2:$L$352)+SUMIF(Mercado_Receita!$S$2:$S$352,"44713B1ConvencionalResidencialResidencial baixa renda – faixa 03Não se aplicaNão se aplicaNão se aplica",Mercado_Receita!$L$2:$L$352)</f>
        <v>12.487</v>
      </c>
      <c r="S20" s="13">
        <f>SUMIF(Mercado_Receita!$S$2:$S$352,"44743B1ConvencionalResidencialResidencial baixa renda – faixa 03Não se aplicaNão se aplicaPonta",Mercado_Receita!$L$2:$L$352)+SUMIF(Mercado_Receita!$S$2:$S$352,"44743B1ConvencionalResidencialResidencial baixa renda – faixa 03Não se aplicaNão se aplicaFora ponta",Mercado_Receita!$L$2:$L$352)+SUMIF(Mercado_Receita!$S$2:$S$352,"44743B1ConvencionalResidencialResidencial baixa renda – faixa 03Não se aplicaNão se aplicaIntermediário",Mercado_Receita!$L$2:$L$352)+SUMIF(Mercado_Receita!$S$2:$S$352,"44743B1ConvencionalResidencialResidencial baixa renda – faixa 03Não se aplicaNão se aplicaNão se aplica",Mercado_Receita!$L$2:$L$352)</f>
        <v>10.829000000000001</v>
      </c>
      <c r="T20" s="13">
        <f>SUMIF(Mercado_Receita!$S$2:$S$352,"44774B1ConvencionalResidencialResidencial baixa renda – faixa 03Não se aplicaNão se aplicaPonta",Mercado_Receita!$L$2:$L$352)+SUMIF(Mercado_Receita!$S$2:$S$352,"44774B1ConvencionalResidencialResidencial baixa renda – faixa 03Não se aplicaNão se aplicaFora ponta",Mercado_Receita!$L$2:$L$352)+SUMIF(Mercado_Receita!$S$2:$S$352,"44774B1ConvencionalResidencialResidencial baixa renda – faixa 03Não se aplicaNão se aplicaIntermediário",Mercado_Receita!$L$2:$L$352)+SUMIF(Mercado_Receita!$S$2:$S$352,"44774B1ConvencionalResidencialResidencial baixa renda – faixa 03Não se aplicaNão se aplicaNão se aplica",Mercado_Receita!$L$2:$L$352)</f>
        <v>10.829000000000001</v>
      </c>
      <c r="U20" s="13">
        <f t="shared" si="0"/>
        <v>116.22800000000001</v>
      </c>
      <c r="V20" s="13"/>
      <c r="W20" s="13"/>
    </row>
    <row r="21" spans="1:23" ht="11.25" customHeight="1" x14ac:dyDescent="0.3">
      <c r="A21" s="74"/>
      <c r="B21" s="74"/>
      <c r="C21" s="74"/>
      <c r="D21" s="12" t="s">
        <v>32</v>
      </c>
      <c r="E21" s="12" t="s">
        <v>25</v>
      </c>
      <c r="F21" s="12" t="s">
        <v>25</v>
      </c>
      <c r="G21" s="13" t="s">
        <v>75</v>
      </c>
      <c r="H21" s="13" t="s">
        <v>69</v>
      </c>
      <c r="I21" s="13">
        <f>SUMIF(Mercado_Receita!$S$2:$S$352,"44440B1ConvencionalResidencialResidencial baixa renda – faixa 04Não se aplicaNão se aplicaPonta",Mercado_Receita!$L$2:$L$352)+SUMIF(Mercado_Receita!$S$2:$S$352,"44440B1ConvencionalResidencialResidencial baixa renda – faixa 04Não se aplicaNão se aplicaFora ponta",Mercado_Receita!$L$2:$L$352)+SUMIF(Mercado_Receita!$S$2:$S$352,"44440B1ConvencionalResidencialResidencial baixa renda – faixa 04Não se aplicaNão se aplicaIntermediário",Mercado_Receita!$L$2:$L$352)+SUMIF(Mercado_Receita!$S$2:$S$352,"44440B1ConvencionalResidencialResidencial baixa renda – faixa 04Não se aplicaNão se aplicaNão se aplica",Mercado_Receita!$L$2:$L$352)</f>
        <v>1.62</v>
      </c>
      <c r="J21" s="13">
        <f>SUMIF(Mercado_Receita!$S$2:$S$352,"44470B1ConvencionalResidencialResidencial baixa renda – faixa 04Não se aplicaNão se aplicaPonta",Mercado_Receita!$L$2:$L$352)+SUMIF(Mercado_Receita!$S$2:$S$352,"44470B1ConvencionalResidencialResidencial baixa renda – faixa 04Não se aplicaNão se aplicaFora ponta",Mercado_Receita!$L$2:$L$352)+SUMIF(Mercado_Receita!$S$2:$S$352,"44470B1ConvencionalResidencialResidencial baixa renda – faixa 04Não se aplicaNão se aplicaIntermediário",Mercado_Receita!$L$2:$L$352)+SUMIF(Mercado_Receita!$S$2:$S$352,"44470B1ConvencionalResidencialResidencial baixa renda – faixa 04Não se aplicaNão se aplicaNão se aplica",Mercado_Receita!$L$2:$L$352)</f>
        <v>2.931</v>
      </c>
      <c r="K21" s="13">
        <f>SUMIF(Mercado_Receita!$S$2:$S$352,"44501B1ConvencionalResidencialResidencial baixa renda – faixa 04Não se aplicaNão se aplicaPonta",Mercado_Receita!$L$2:$L$352)+SUMIF(Mercado_Receita!$S$2:$S$352,"44501B1ConvencionalResidencialResidencial baixa renda – faixa 04Não se aplicaNão se aplicaFora ponta",Mercado_Receita!$L$2:$L$352)+SUMIF(Mercado_Receita!$S$2:$S$352,"44501B1ConvencionalResidencialResidencial baixa renda – faixa 04Não se aplicaNão se aplicaIntermediário",Mercado_Receita!$L$2:$L$352)+SUMIF(Mercado_Receita!$S$2:$S$352,"44501B1ConvencionalResidencialResidencial baixa renda – faixa 04Não se aplicaNão se aplicaNão se aplica",Mercado_Receita!$L$2:$L$352)</f>
        <v>2.2109999999999999</v>
      </c>
      <c r="L21" s="13">
        <f>SUMIF(Mercado_Receita!$S$2:$S$352,"44531B1ConvencionalResidencialResidencial baixa renda – faixa 04Não se aplicaNão se aplicaPonta",Mercado_Receita!$L$2:$L$352)+SUMIF(Mercado_Receita!$S$2:$S$352,"44531B1ConvencionalResidencialResidencial baixa renda – faixa 04Não se aplicaNão se aplicaFora ponta",Mercado_Receita!$L$2:$L$352)+SUMIF(Mercado_Receita!$S$2:$S$352,"44531B1ConvencionalResidencialResidencial baixa renda – faixa 04Não se aplicaNão se aplicaIntermediário",Mercado_Receita!$L$2:$L$352)+SUMIF(Mercado_Receita!$S$2:$S$352,"44531B1ConvencionalResidencialResidencial baixa renda – faixa 04Não se aplicaNão se aplicaNão se aplica",Mercado_Receita!$L$2:$L$352)</f>
        <v>2.2970000000000002</v>
      </c>
      <c r="M21" s="13">
        <f>SUMIF(Mercado_Receita!$S$2:$S$352,"44562B1ConvencionalResidencialResidencial baixa renda – faixa 04Não se aplicaNão se aplicaPonta",Mercado_Receita!$L$2:$L$352)+SUMIF(Mercado_Receita!$S$2:$S$352,"44562B1ConvencionalResidencialResidencial baixa renda – faixa 04Não se aplicaNão se aplicaFora ponta",Mercado_Receita!$L$2:$L$352)+SUMIF(Mercado_Receita!$S$2:$S$352,"44562B1ConvencionalResidencialResidencial baixa renda – faixa 04Não se aplicaNão se aplicaIntermediário",Mercado_Receita!$L$2:$L$352)+SUMIF(Mercado_Receita!$S$2:$S$352,"44562B1ConvencionalResidencialResidencial baixa renda – faixa 04Não se aplicaNão se aplicaNão se aplica",Mercado_Receita!$L$2:$L$352)</f>
        <v>4.3019999999999996</v>
      </c>
      <c r="N21" s="13">
        <f>SUMIF(Mercado_Receita!$S$2:$S$352,"44593B1ConvencionalResidencialResidencial baixa renda – faixa 04Não se aplicaNão se aplicaPonta",Mercado_Receita!$L$2:$L$352)+SUMIF(Mercado_Receita!$S$2:$S$352,"44593B1ConvencionalResidencialResidencial baixa renda – faixa 04Não se aplicaNão se aplicaFora ponta",Mercado_Receita!$L$2:$L$352)+SUMIF(Mercado_Receita!$S$2:$S$352,"44593B1ConvencionalResidencialResidencial baixa renda – faixa 04Não se aplicaNão se aplicaIntermediário",Mercado_Receita!$L$2:$L$352)+SUMIF(Mercado_Receita!$S$2:$S$352,"44593B1ConvencionalResidencialResidencial baixa renda – faixa 04Não se aplicaNão se aplicaNão se aplica",Mercado_Receita!$L$2:$L$352)</f>
        <v>7.4379999999999997</v>
      </c>
      <c r="O21" s="13">
        <f>SUMIF(Mercado_Receita!$S$2:$S$352,"44621B1ConvencionalResidencialResidencial baixa renda – faixa 04Não se aplicaNão se aplicaPonta",Mercado_Receita!$L$2:$L$352)+SUMIF(Mercado_Receita!$S$2:$S$352,"44621B1ConvencionalResidencialResidencial baixa renda – faixa 04Não se aplicaNão se aplicaFora ponta",Mercado_Receita!$L$2:$L$352)+SUMIF(Mercado_Receita!$S$2:$S$352,"44621B1ConvencionalResidencialResidencial baixa renda – faixa 04Não se aplicaNão se aplicaIntermediário",Mercado_Receita!$L$2:$L$352)+SUMIF(Mercado_Receita!$S$2:$S$352,"44621B1ConvencionalResidencialResidencial baixa renda – faixa 04Não se aplicaNão se aplicaNão se aplica",Mercado_Receita!$L$2:$L$352)</f>
        <v>5.5119999999999996</v>
      </c>
      <c r="P21" s="13">
        <f>SUMIF(Mercado_Receita!$S$2:$S$352,"44652B1ConvencionalResidencialResidencial baixa renda – faixa 04Não se aplicaNão se aplicaPonta",Mercado_Receita!$L$2:$L$352)+SUMIF(Mercado_Receita!$S$2:$S$352,"44652B1ConvencionalResidencialResidencial baixa renda – faixa 04Não se aplicaNão se aplicaFora ponta",Mercado_Receita!$L$2:$L$352)+SUMIF(Mercado_Receita!$S$2:$S$352,"44652B1ConvencionalResidencialResidencial baixa renda – faixa 04Não se aplicaNão se aplicaIntermediário",Mercado_Receita!$L$2:$L$352)+SUMIF(Mercado_Receita!$S$2:$S$352,"44652B1ConvencionalResidencialResidencial baixa renda – faixa 04Não se aplicaNão se aplicaNão se aplica",Mercado_Receita!$L$2:$L$352)</f>
        <v>3.56</v>
      </c>
      <c r="Q21" s="13">
        <f>SUMIF(Mercado_Receita!$S$2:$S$352,"44682B1ConvencionalResidencialResidencial baixa renda – faixa 04Não se aplicaNão se aplicaPonta",Mercado_Receita!$L$2:$L$352)+SUMIF(Mercado_Receita!$S$2:$S$352,"44682B1ConvencionalResidencialResidencial baixa renda – faixa 04Não se aplicaNão se aplicaFora ponta",Mercado_Receita!$L$2:$L$352)+SUMIF(Mercado_Receita!$S$2:$S$352,"44682B1ConvencionalResidencialResidencial baixa renda – faixa 04Não se aplicaNão se aplicaIntermediário",Mercado_Receita!$L$2:$L$352)+SUMIF(Mercado_Receita!$S$2:$S$352,"44682B1ConvencionalResidencialResidencial baixa renda – faixa 04Não se aplicaNão se aplicaNão se aplica",Mercado_Receita!$L$2:$L$352)</f>
        <v>2.9620000000000002</v>
      </c>
      <c r="R21" s="13">
        <f>SUMIF(Mercado_Receita!$S$2:$S$352,"44713B1ConvencionalResidencialResidencial baixa renda – faixa 04Não se aplicaNão se aplicaPonta",Mercado_Receita!$L$2:$L$352)+SUMIF(Mercado_Receita!$S$2:$S$352,"44713B1ConvencionalResidencialResidencial baixa renda – faixa 04Não se aplicaNão se aplicaFora ponta",Mercado_Receita!$L$2:$L$352)+SUMIF(Mercado_Receita!$S$2:$S$352,"44713B1ConvencionalResidencialResidencial baixa renda – faixa 04Não se aplicaNão se aplicaIntermediário",Mercado_Receita!$L$2:$L$352)+SUMIF(Mercado_Receita!$S$2:$S$352,"44713B1ConvencionalResidencialResidencial baixa renda – faixa 04Não se aplicaNão se aplicaNão se aplica",Mercado_Receita!$L$2:$L$352)</f>
        <v>6.2949999999999999</v>
      </c>
      <c r="S21" s="13">
        <f>SUMIF(Mercado_Receita!$S$2:$S$352,"44743B1ConvencionalResidencialResidencial baixa renda – faixa 04Não se aplicaNão se aplicaPonta",Mercado_Receita!$L$2:$L$352)+SUMIF(Mercado_Receita!$S$2:$S$352,"44743B1ConvencionalResidencialResidencial baixa renda – faixa 04Não se aplicaNão se aplicaFora ponta",Mercado_Receita!$L$2:$L$352)+SUMIF(Mercado_Receita!$S$2:$S$352,"44743B1ConvencionalResidencialResidencial baixa renda – faixa 04Não se aplicaNão se aplicaIntermediário",Mercado_Receita!$L$2:$L$352)+SUMIF(Mercado_Receita!$S$2:$S$352,"44743B1ConvencionalResidencialResidencial baixa renda – faixa 04Não se aplicaNão se aplicaNão se aplica",Mercado_Receita!$L$2:$L$352)</f>
        <v>3.0920000000000001</v>
      </c>
      <c r="T21" s="13">
        <f>SUMIF(Mercado_Receita!$S$2:$S$352,"44774B1ConvencionalResidencialResidencial baixa renda – faixa 04Não se aplicaNão se aplicaPonta",Mercado_Receita!$L$2:$L$352)+SUMIF(Mercado_Receita!$S$2:$S$352,"44774B1ConvencionalResidencialResidencial baixa renda – faixa 04Não se aplicaNão se aplicaFora ponta",Mercado_Receita!$L$2:$L$352)+SUMIF(Mercado_Receita!$S$2:$S$352,"44774B1ConvencionalResidencialResidencial baixa renda – faixa 04Não se aplicaNão se aplicaIntermediário",Mercado_Receita!$L$2:$L$352)+SUMIF(Mercado_Receita!$S$2:$S$352,"44774B1ConvencionalResidencialResidencial baixa renda – faixa 04Não se aplicaNão se aplicaNão se aplica",Mercado_Receita!$L$2:$L$352)</f>
        <v>3.0920000000000001</v>
      </c>
      <c r="U21" s="13">
        <f t="shared" si="0"/>
        <v>45.311999999999998</v>
      </c>
      <c r="V21" s="13"/>
      <c r="W21" s="13"/>
    </row>
    <row r="22" spans="1:23" ht="11.25" customHeight="1" x14ac:dyDescent="0.3">
      <c r="A22" s="74"/>
      <c r="B22" s="73" t="s">
        <v>84</v>
      </c>
      <c r="C22" s="73" t="s">
        <v>24</v>
      </c>
      <c r="D22" s="12" t="s">
        <v>24</v>
      </c>
      <c r="E22" s="12" t="s">
        <v>25</v>
      </c>
      <c r="F22" s="12" t="s">
        <v>25</v>
      </c>
      <c r="G22" s="13" t="s">
        <v>75</v>
      </c>
      <c r="H22" s="13" t="s">
        <v>69</v>
      </c>
      <c r="I22" s="13">
        <f>SUMIF(Mercado_Receita!$S$2:$S$352,"44440B1Convencional pré-pagamentoResidencialResidencialNão se aplicaNão se aplicaPonta",Mercado_Receita!$L$2:$L$352)+SUMIF(Mercado_Receita!$S$2:$S$352,"44440B1Convencional pré-pagamentoResidencialResidencialNão se aplicaNão se aplicaFora ponta",Mercado_Receita!$L$2:$L$352)+SUMIF(Mercado_Receita!$S$2:$S$352,"44440B1Convencional pré-pagamentoResidencialResidencialNão se aplicaNão se aplicaIntermediário",Mercado_Receita!$L$2:$L$352)+SUMIF(Mercado_Receita!$S$2:$S$352,"44440B1Convencional pré-pagamentoResidencialResidencialNão se aplicaNão se aplicaNão se aplica",Mercado_Receita!$L$2:$L$352)</f>
        <v>0</v>
      </c>
      <c r="J22" s="13">
        <f>SUMIF(Mercado_Receita!$S$2:$S$352,"44470B1Convencional pré-pagamentoResidencialResidencialNão se aplicaNão se aplicaPonta",Mercado_Receita!$L$2:$L$352)+SUMIF(Mercado_Receita!$S$2:$S$352,"44470B1Convencional pré-pagamentoResidencialResidencialNão se aplicaNão se aplicaFora ponta",Mercado_Receita!$L$2:$L$352)+SUMIF(Mercado_Receita!$S$2:$S$352,"44470B1Convencional pré-pagamentoResidencialResidencialNão se aplicaNão se aplicaIntermediário",Mercado_Receita!$L$2:$L$352)+SUMIF(Mercado_Receita!$S$2:$S$352,"44470B1Convencional pré-pagamentoResidencialResidencialNão se aplicaNão se aplicaNão se aplica",Mercado_Receita!$L$2:$L$352)</f>
        <v>0</v>
      </c>
      <c r="K22" s="13">
        <f>SUMIF(Mercado_Receita!$S$2:$S$352,"44501B1Convencional pré-pagamentoResidencialResidencialNão se aplicaNão se aplicaPonta",Mercado_Receita!$L$2:$L$352)+SUMIF(Mercado_Receita!$S$2:$S$352,"44501B1Convencional pré-pagamentoResidencialResidencialNão se aplicaNão se aplicaFora ponta",Mercado_Receita!$L$2:$L$352)+SUMIF(Mercado_Receita!$S$2:$S$352,"44501B1Convencional pré-pagamentoResidencialResidencialNão se aplicaNão se aplicaIntermediário",Mercado_Receita!$L$2:$L$352)+SUMIF(Mercado_Receita!$S$2:$S$352,"44501B1Convencional pré-pagamentoResidencialResidencialNão se aplicaNão se aplicaNão se aplica",Mercado_Receita!$L$2:$L$352)</f>
        <v>0</v>
      </c>
      <c r="L22" s="13">
        <f>SUMIF(Mercado_Receita!$S$2:$S$352,"44531B1Convencional pré-pagamentoResidencialResidencialNão se aplicaNão se aplicaPonta",Mercado_Receita!$L$2:$L$352)+SUMIF(Mercado_Receita!$S$2:$S$352,"44531B1Convencional pré-pagamentoResidencialResidencialNão se aplicaNão se aplicaFora ponta",Mercado_Receita!$L$2:$L$352)+SUMIF(Mercado_Receita!$S$2:$S$352,"44531B1Convencional pré-pagamentoResidencialResidencialNão se aplicaNão se aplicaIntermediário",Mercado_Receita!$L$2:$L$352)+SUMIF(Mercado_Receita!$S$2:$S$352,"44531B1Convencional pré-pagamentoResidencialResidencialNão se aplicaNão se aplicaNão se aplica",Mercado_Receita!$L$2:$L$352)</f>
        <v>0</v>
      </c>
      <c r="M22" s="13">
        <f>SUMIF(Mercado_Receita!$S$2:$S$352,"44562B1Convencional pré-pagamentoResidencialResidencialNão se aplicaNão se aplicaPonta",Mercado_Receita!$L$2:$L$352)+SUMIF(Mercado_Receita!$S$2:$S$352,"44562B1Convencional pré-pagamentoResidencialResidencialNão se aplicaNão se aplicaFora ponta",Mercado_Receita!$L$2:$L$352)+SUMIF(Mercado_Receita!$S$2:$S$352,"44562B1Convencional pré-pagamentoResidencialResidencialNão se aplicaNão se aplicaIntermediário",Mercado_Receita!$L$2:$L$352)+SUMIF(Mercado_Receita!$S$2:$S$352,"44562B1Convencional pré-pagamentoResidencialResidencialNão se aplicaNão se aplicaNão se aplica",Mercado_Receita!$L$2:$L$352)</f>
        <v>0</v>
      </c>
      <c r="N22" s="13">
        <f>SUMIF(Mercado_Receita!$S$2:$S$352,"44593B1Convencional pré-pagamentoResidencialResidencialNão se aplicaNão se aplicaPonta",Mercado_Receita!$L$2:$L$352)+SUMIF(Mercado_Receita!$S$2:$S$352,"44593B1Convencional pré-pagamentoResidencialResidencialNão se aplicaNão se aplicaFora ponta",Mercado_Receita!$L$2:$L$352)+SUMIF(Mercado_Receita!$S$2:$S$352,"44593B1Convencional pré-pagamentoResidencialResidencialNão se aplicaNão se aplicaIntermediário",Mercado_Receita!$L$2:$L$352)+SUMIF(Mercado_Receita!$S$2:$S$352,"44593B1Convencional pré-pagamentoResidencialResidencialNão se aplicaNão se aplicaNão se aplica",Mercado_Receita!$L$2:$L$352)</f>
        <v>0</v>
      </c>
      <c r="O22" s="13">
        <f>SUMIF(Mercado_Receita!$S$2:$S$352,"44621B1Convencional pré-pagamentoResidencialResidencialNão se aplicaNão se aplicaPonta",Mercado_Receita!$L$2:$L$352)+SUMIF(Mercado_Receita!$S$2:$S$352,"44621B1Convencional pré-pagamentoResidencialResidencialNão se aplicaNão se aplicaFora ponta",Mercado_Receita!$L$2:$L$352)+SUMIF(Mercado_Receita!$S$2:$S$352,"44621B1Convencional pré-pagamentoResidencialResidencialNão se aplicaNão se aplicaIntermediário",Mercado_Receita!$L$2:$L$352)+SUMIF(Mercado_Receita!$S$2:$S$352,"44621B1Convencional pré-pagamentoResidencialResidencialNão se aplicaNão se aplicaNão se aplica",Mercado_Receita!$L$2:$L$352)</f>
        <v>0</v>
      </c>
      <c r="P22" s="13">
        <f>SUMIF(Mercado_Receita!$S$2:$S$352,"44652B1Convencional pré-pagamentoResidencialResidencialNão se aplicaNão se aplicaPonta",Mercado_Receita!$L$2:$L$352)+SUMIF(Mercado_Receita!$S$2:$S$352,"44652B1Convencional pré-pagamentoResidencialResidencialNão se aplicaNão se aplicaFora ponta",Mercado_Receita!$L$2:$L$352)+SUMIF(Mercado_Receita!$S$2:$S$352,"44652B1Convencional pré-pagamentoResidencialResidencialNão se aplicaNão se aplicaIntermediário",Mercado_Receita!$L$2:$L$352)+SUMIF(Mercado_Receita!$S$2:$S$352,"44652B1Convencional pré-pagamentoResidencialResidencialNão se aplicaNão se aplicaNão se aplica",Mercado_Receita!$L$2:$L$352)</f>
        <v>0</v>
      </c>
      <c r="Q22" s="13">
        <f>SUMIF(Mercado_Receita!$S$2:$S$352,"44682B1Convencional pré-pagamentoResidencialResidencialNão se aplicaNão se aplicaPonta",Mercado_Receita!$L$2:$L$352)+SUMIF(Mercado_Receita!$S$2:$S$352,"44682B1Convencional pré-pagamentoResidencialResidencialNão se aplicaNão se aplicaFora ponta",Mercado_Receita!$L$2:$L$352)+SUMIF(Mercado_Receita!$S$2:$S$352,"44682B1Convencional pré-pagamentoResidencialResidencialNão se aplicaNão se aplicaIntermediário",Mercado_Receita!$L$2:$L$352)+SUMIF(Mercado_Receita!$S$2:$S$352,"44682B1Convencional pré-pagamentoResidencialResidencialNão se aplicaNão se aplicaNão se aplica",Mercado_Receita!$L$2:$L$352)</f>
        <v>0</v>
      </c>
      <c r="R22" s="13">
        <f>SUMIF(Mercado_Receita!$S$2:$S$352,"44713B1Convencional pré-pagamentoResidencialResidencialNão se aplicaNão se aplicaPonta",Mercado_Receita!$L$2:$L$352)+SUMIF(Mercado_Receita!$S$2:$S$352,"44713B1Convencional pré-pagamentoResidencialResidencialNão se aplicaNão se aplicaFora ponta",Mercado_Receita!$L$2:$L$352)+SUMIF(Mercado_Receita!$S$2:$S$352,"44713B1Convencional pré-pagamentoResidencialResidencialNão se aplicaNão se aplicaIntermediário",Mercado_Receita!$L$2:$L$352)+SUMIF(Mercado_Receita!$S$2:$S$352,"44713B1Convencional pré-pagamentoResidencialResidencialNão se aplicaNão se aplicaNão se aplica",Mercado_Receita!$L$2:$L$352)</f>
        <v>0</v>
      </c>
      <c r="S22" s="13">
        <f>SUMIF(Mercado_Receita!$S$2:$S$352,"44743B1Convencional pré-pagamentoResidencialResidencialNão se aplicaNão se aplicaPonta",Mercado_Receita!$L$2:$L$352)+SUMIF(Mercado_Receita!$S$2:$S$352,"44743B1Convencional pré-pagamentoResidencialResidencialNão se aplicaNão se aplicaFora ponta",Mercado_Receita!$L$2:$L$352)+SUMIF(Mercado_Receita!$S$2:$S$352,"44743B1Convencional pré-pagamentoResidencialResidencialNão se aplicaNão se aplicaIntermediário",Mercado_Receita!$L$2:$L$352)+SUMIF(Mercado_Receita!$S$2:$S$352,"44743B1Convencional pré-pagamentoResidencialResidencialNão se aplicaNão se aplicaNão se aplica",Mercado_Receita!$L$2:$L$352)</f>
        <v>0</v>
      </c>
      <c r="T22" s="13">
        <f>SUMIF(Mercado_Receita!$S$2:$S$352,"44774B1Convencional pré-pagamentoResidencialResidencialNão se aplicaNão se aplicaPonta",Mercado_Receita!$L$2:$L$352)+SUMIF(Mercado_Receita!$S$2:$S$352,"44774B1Convencional pré-pagamentoResidencialResidencialNão se aplicaNão se aplicaFora ponta",Mercado_Receita!$L$2:$L$352)+SUMIF(Mercado_Receita!$S$2:$S$352,"44774B1Convencional pré-pagamentoResidencialResidencialNão se aplicaNão se aplicaIntermediário",Mercado_Receita!$L$2:$L$352)+SUMIF(Mercado_Receita!$S$2:$S$352,"44774B1Convencional pré-pagamentoResidencialResidencialNão se aplicaNão se aplicaNão se aplica",Mercado_Receita!$L$2:$L$352)</f>
        <v>0</v>
      </c>
      <c r="U22" s="13">
        <f t="shared" si="0"/>
        <v>0</v>
      </c>
      <c r="V22" s="13"/>
      <c r="W22" s="13"/>
    </row>
    <row r="23" spans="1:23" ht="11.25" customHeight="1" x14ac:dyDescent="0.3">
      <c r="A23" s="74"/>
      <c r="B23" s="74"/>
      <c r="C23" s="74"/>
      <c r="D23" s="12" t="s">
        <v>29</v>
      </c>
      <c r="E23" s="12" t="s">
        <v>25</v>
      </c>
      <c r="F23" s="12" t="s">
        <v>25</v>
      </c>
      <c r="G23" s="13" t="s">
        <v>75</v>
      </c>
      <c r="H23" s="13" t="s">
        <v>69</v>
      </c>
      <c r="I23" s="13">
        <f>SUMIF(Mercado_Receita!$S$2:$S$352,"44440B1Convencional pré-pagamentoResidencialResidencial baixa renda – faixa 01Não se aplicaNão se aplicaPonta",Mercado_Receita!$L$2:$L$352)+SUMIF(Mercado_Receita!$S$2:$S$352,"44440B1Convencional pré-pagamentoResidencialResidencial baixa renda – faixa 01Não se aplicaNão se aplicaFora ponta",Mercado_Receita!$L$2:$L$352)+SUMIF(Mercado_Receita!$S$2:$S$352,"44440B1Convencional pré-pagamentoResidencialResidencial baixa renda – faixa 01Não se aplicaNão se aplicaIntermediário",Mercado_Receita!$L$2:$L$352)+SUMIF(Mercado_Receita!$S$2:$S$352,"44440B1Convencional pré-pagamentoResidencialResidencial baixa renda – faixa 01Não se aplicaNão se aplicaNão se aplica",Mercado_Receita!$L$2:$L$352)</f>
        <v>0</v>
      </c>
      <c r="J23" s="13">
        <f>SUMIF(Mercado_Receita!$S$2:$S$352,"44470B1Convencional pré-pagamentoResidencialResidencial baixa renda – faixa 01Não se aplicaNão se aplicaPonta",Mercado_Receita!$L$2:$L$352)+SUMIF(Mercado_Receita!$S$2:$S$352,"44470B1Convencional pré-pagamentoResidencialResidencial baixa renda – faixa 01Não se aplicaNão se aplicaFora ponta",Mercado_Receita!$L$2:$L$352)+SUMIF(Mercado_Receita!$S$2:$S$352,"44470B1Convencional pré-pagamentoResidencialResidencial baixa renda – faixa 01Não se aplicaNão se aplicaIntermediário",Mercado_Receita!$L$2:$L$352)+SUMIF(Mercado_Receita!$S$2:$S$352,"44470B1Convencional pré-pagamentoResidencialResidencial baixa renda – faixa 01Não se aplicaNão se aplicaNão se aplica",Mercado_Receita!$L$2:$L$352)</f>
        <v>0</v>
      </c>
      <c r="K23" s="13">
        <f>SUMIF(Mercado_Receita!$S$2:$S$352,"44501B1Convencional pré-pagamentoResidencialResidencial baixa renda – faixa 01Não se aplicaNão se aplicaPonta",Mercado_Receita!$L$2:$L$352)+SUMIF(Mercado_Receita!$S$2:$S$352,"44501B1Convencional pré-pagamentoResidencialResidencial baixa renda – faixa 01Não se aplicaNão se aplicaFora ponta",Mercado_Receita!$L$2:$L$352)+SUMIF(Mercado_Receita!$S$2:$S$352,"44501B1Convencional pré-pagamentoResidencialResidencial baixa renda – faixa 01Não se aplicaNão se aplicaIntermediário",Mercado_Receita!$L$2:$L$352)+SUMIF(Mercado_Receita!$S$2:$S$352,"44501B1Convencional pré-pagamentoResidencialResidencial baixa renda – faixa 01Não se aplicaNão se aplicaNão se aplica",Mercado_Receita!$L$2:$L$352)</f>
        <v>0</v>
      </c>
      <c r="L23" s="13">
        <f>SUMIF(Mercado_Receita!$S$2:$S$352,"44531B1Convencional pré-pagamentoResidencialResidencial baixa renda – faixa 01Não se aplicaNão se aplicaPonta",Mercado_Receita!$L$2:$L$352)+SUMIF(Mercado_Receita!$S$2:$S$352,"44531B1Convencional pré-pagamentoResidencialResidencial baixa renda – faixa 01Não se aplicaNão se aplicaFora ponta",Mercado_Receita!$L$2:$L$352)+SUMIF(Mercado_Receita!$S$2:$S$352,"44531B1Convencional pré-pagamentoResidencialResidencial baixa renda – faixa 01Não se aplicaNão se aplicaIntermediário",Mercado_Receita!$L$2:$L$352)+SUMIF(Mercado_Receita!$S$2:$S$352,"44531B1Convencional pré-pagamentoResidencialResidencial baixa renda – faixa 01Não se aplicaNão se aplicaNão se aplica",Mercado_Receita!$L$2:$L$352)</f>
        <v>0</v>
      </c>
      <c r="M23" s="13">
        <f>SUMIF(Mercado_Receita!$S$2:$S$352,"44562B1Convencional pré-pagamentoResidencialResidencial baixa renda – faixa 01Não se aplicaNão se aplicaPonta",Mercado_Receita!$L$2:$L$352)+SUMIF(Mercado_Receita!$S$2:$S$352,"44562B1Convencional pré-pagamentoResidencialResidencial baixa renda – faixa 01Não se aplicaNão se aplicaFora ponta",Mercado_Receita!$L$2:$L$352)+SUMIF(Mercado_Receita!$S$2:$S$352,"44562B1Convencional pré-pagamentoResidencialResidencial baixa renda – faixa 01Não se aplicaNão se aplicaIntermediário",Mercado_Receita!$L$2:$L$352)+SUMIF(Mercado_Receita!$S$2:$S$352,"44562B1Convencional pré-pagamentoResidencialResidencial baixa renda – faixa 01Não se aplicaNão se aplicaNão se aplica",Mercado_Receita!$L$2:$L$352)</f>
        <v>0</v>
      </c>
      <c r="N23" s="13">
        <f>SUMIF(Mercado_Receita!$S$2:$S$352,"44593B1Convencional pré-pagamentoResidencialResidencial baixa renda – faixa 01Não se aplicaNão se aplicaPonta",Mercado_Receita!$L$2:$L$352)+SUMIF(Mercado_Receita!$S$2:$S$352,"44593B1Convencional pré-pagamentoResidencialResidencial baixa renda – faixa 01Não se aplicaNão se aplicaFora ponta",Mercado_Receita!$L$2:$L$352)+SUMIF(Mercado_Receita!$S$2:$S$352,"44593B1Convencional pré-pagamentoResidencialResidencial baixa renda – faixa 01Não se aplicaNão se aplicaIntermediário",Mercado_Receita!$L$2:$L$352)+SUMIF(Mercado_Receita!$S$2:$S$352,"44593B1Convencional pré-pagamentoResidencialResidencial baixa renda – faixa 01Não se aplicaNão se aplicaNão se aplica",Mercado_Receita!$L$2:$L$352)</f>
        <v>0</v>
      </c>
      <c r="O23" s="13">
        <f>SUMIF(Mercado_Receita!$S$2:$S$352,"44621B1Convencional pré-pagamentoResidencialResidencial baixa renda – faixa 01Não se aplicaNão se aplicaPonta",Mercado_Receita!$L$2:$L$352)+SUMIF(Mercado_Receita!$S$2:$S$352,"44621B1Convencional pré-pagamentoResidencialResidencial baixa renda – faixa 01Não se aplicaNão se aplicaFora ponta",Mercado_Receita!$L$2:$L$352)+SUMIF(Mercado_Receita!$S$2:$S$352,"44621B1Convencional pré-pagamentoResidencialResidencial baixa renda – faixa 01Não se aplicaNão se aplicaIntermediário",Mercado_Receita!$L$2:$L$352)+SUMIF(Mercado_Receita!$S$2:$S$352,"44621B1Convencional pré-pagamentoResidencialResidencial baixa renda – faixa 01Não se aplicaNão se aplicaNão se aplica",Mercado_Receita!$L$2:$L$352)</f>
        <v>0</v>
      </c>
      <c r="P23" s="13">
        <f>SUMIF(Mercado_Receita!$S$2:$S$352,"44652B1Convencional pré-pagamentoResidencialResidencial baixa renda – faixa 01Não se aplicaNão se aplicaPonta",Mercado_Receita!$L$2:$L$352)+SUMIF(Mercado_Receita!$S$2:$S$352,"44652B1Convencional pré-pagamentoResidencialResidencial baixa renda – faixa 01Não se aplicaNão se aplicaFora ponta",Mercado_Receita!$L$2:$L$352)+SUMIF(Mercado_Receita!$S$2:$S$352,"44652B1Convencional pré-pagamentoResidencialResidencial baixa renda – faixa 01Não se aplicaNão se aplicaIntermediário",Mercado_Receita!$L$2:$L$352)+SUMIF(Mercado_Receita!$S$2:$S$352,"44652B1Convencional pré-pagamentoResidencialResidencial baixa renda – faixa 01Não se aplicaNão se aplicaNão se aplica",Mercado_Receita!$L$2:$L$352)</f>
        <v>0</v>
      </c>
      <c r="Q23" s="13">
        <f>SUMIF(Mercado_Receita!$S$2:$S$352,"44682B1Convencional pré-pagamentoResidencialResidencial baixa renda – faixa 01Não se aplicaNão se aplicaPonta",Mercado_Receita!$L$2:$L$352)+SUMIF(Mercado_Receita!$S$2:$S$352,"44682B1Convencional pré-pagamentoResidencialResidencial baixa renda – faixa 01Não se aplicaNão se aplicaFora ponta",Mercado_Receita!$L$2:$L$352)+SUMIF(Mercado_Receita!$S$2:$S$352,"44682B1Convencional pré-pagamentoResidencialResidencial baixa renda – faixa 01Não se aplicaNão se aplicaIntermediário",Mercado_Receita!$L$2:$L$352)+SUMIF(Mercado_Receita!$S$2:$S$352,"44682B1Convencional pré-pagamentoResidencialResidencial baixa renda – faixa 01Não se aplicaNão se aplicaNão se aplica",Mercado_Receita!$L$2:$L$352)</f>
        <v>0</v>
      </c>
      <c r="R23" s="13">
        <f>SUMIF(Mercado_Receita!$S$2:$S$352,"44713B1Convencional pré-pagamentoResidencialResidencial baixa renda – faixa 01Não se aplicaNão se aplicaPonta",Mercado_Receita!$L$2:$L$352)+SUMIF(Mercado_Receita!$S$2:$S$352,"44713B1Convencional pré-pagamentoResidencialResidencial baixa renda – faixa 01Não se aplicaNão se aplicaFora ponta",Mercado_Receita!$L$2:$L$352)+SUMIF(Mercado_Receita!$S$2:$S$352,"44713B1Convencional pré-pagamentoResidencialResidencial baixa renda – faixa 01Não se aplicaNão se aplicaIntermediário",Mercado_Receita!$L$2:$L$352)+SUMIF(Mercado_Receita!$S$2:$S$352,"44713B1Convencional pré-pagamentoResidencialResidencial baixa renda – faixa 01Não se aplicaNão se aplicaNão se aplica",Mercado_Receita!$L$2:$L$352)</f>
        <v>0</v>
      </c>
      <c r="S23" s="13">
        <f>SUMIF(Mercado_Receita!$S$2:$S$352,"44743B1Convencional pré-pagamentoResidencialResidencial baixa renda – faixa 01Não se aplicaNão se aplicaPonta",Mercado_Receita!$L$2:$L$352)+SUMIF(Mercado_Receita!$S$2:$S$352,"44743B1Convencional pré-pagamentoResidencialResidencial baixa renda – faixa 01Não se aplicaNão se aplicaFora ponta",Mercado_Receita!$L$2:$L$352)+SUMIF(Mercado_Receita!$S$2:$S$352,"44743B1Convencional pré-pagamentoResidencialResidencial baixa renda – faixa 01Não se aplicaNão se aplicaIntermediário",Mercado_Receita!$L$2:$L$352)+SUMIF(Mercado_Receita!$S$2:$S$352,"44743B1Convencional pré-pagamentoResidencialResidencial baixa renda – faixa 01Não se aplicaNão se aplicaNão se aplica",Mercado_Receita!$L$2:$L$352)</f>
        <v>0</v>
      </c>
      <c r="T23" s="13">
        <f>SUMIF(Mercado_Receita!$S$2:$S$352,"44774B1Convencional pré-pagamentoResidencialResidencial baixa renda – faixa 01Não se aplicaNão se aplicaPonta",Mercado_Receita!$L$2:$L$352)+SUMIF(Mercado_Receita!$S$2:$S$352,"44774B1Convencional pré-pagamentoResidencialResidencial baixa renda – faixa 01Não se aplicaNão se aplicaFora ponta",Mercado_Receita!$L$2:$L$352)+SUMIF(Mercado_Receita!$S$2:$S$352,"44774B1Convencional pré-pagamentoResidencialResidencial baixa renda – faixa 01Não se aplicaNão se aplicaIntermediário",Mercado_Receita!$L$2:$L$352)+SUMIF(Mercado_Receita!$S$2:$S$352,"44774B1Convencional pré-pagamentoResidencialResidencial baixa renda – faixa 01Não se aplicaNão se aplicaNão se aplica",Mercado_Receita!$L$2:$L$352)</f>
        <v>0</v>
      </c>
      <c r="U23" s="13">
        <f t="shared" si="0"/>
        <v>0</v>
      </c>
      <c r="V23" s="13"/>
      <c r="W23" s="13"/>
    </row>
    <row r="24" spans="1:23" ht="11.25" customHeight="1" x14ac:dyDescent="0.3">
      <c r="A24" s="74"/>
      <c r="B24" s="74"/>
      <c r="C24" s="74"/>
      <c r="D24" s="12" t="s">
        <v>30</v>
      </c>
      <c r="E24" s="12" t="s">
        <v>25</v>
      </c>
      <c r="F24" s="12" t="s">
        <v>25</v>
      </c>
      <c r="G24" s="13" t="s">
        <v>75</v>
      </c>
      <c r="H24" s="13" t="s">
        <v>69</v>
      </c>
      <c r="I24" s="13">
        <f>SUMIF(Mercado_Receita!$S$2:$S$352,"44440B1Convencional pré-pagamentoResidencialResidencial baixa renda – faixa 02Não se aplicaNão se aplicaPonta",Mercado_Receita!$L$2:$L$352)+SUMIF(Mercado_Receita!$S$2:$S$352,"44440B1Convencional pré-pagamentoResidencialResidencial baixa renda – faixa 02Não se aplicaNão se aplicaFora ponta",Mercado_Receita!$L$2:$L$352)+SUMIF(Mercado_Receita!$S$2:$S$352,"44440B1Convencional pré-pagamentoResidencialResidencial baixa renda – faixa 02Não se aplicaNão se aplicaIntermediário",Mercado_Receita!$L$2:$L$352)+SUMIF(Mercado_Receita!$S$2:$S$352,"44440B1Convencional pré-pagamentoResidencialResidencial baixa renda – faixa 02Não se aplicaNão se aplicaNão se aplica",Mercado_Receita!$L$2:$L$352)</f>
        <v>0</v>
      </c>
      <c r="J24" s="13">
        <f>SUMIF(Mercado_Receita!$S$2:$S$352,"44470B1Convencional pré-pagamentoResidencialResidencial baixa renda – faixa 02Não se aplicaNão se aplicaPonta",Mercado_Receita!$L$2:$L$352)+SUMIF(Mercado_Receita!$S$2:$S$352,"44470B1Convencional pré-pagamentoResidencialResidencial baixa renda – faixa 02Não se aplicaNão se aplicaFora ponta",Mercado_Receita!$L$2:$L$352)+SUMIF(Mercado_Receita!$S$2:$S$352,"44470B1Convencional pré-pagamentoResidencialResidencial baixa renda – faixa 02Não se aplicaNão se aplicaIntermediário",Mercado_Receita!$L$2:$L$352)+SUMIF(Mercado_Receita!$S$2:$S$352,"44470B1Convencional pré-pagamentoResidencialResidencial baixa renda – faixa 02Não se aplicaNão se aplicaNão se aplica",Mercado_Receita!$L$2:$L$352)</f>
        <v>0</v>
      </c>
      <c r="K24" s="13">
        <f>SUMIF(Mercado_Receita!$S$2:$S$352,"44501B1Convencional pré-pagamentoResidencialResidencial baixa renda – faixa 02Não se aplicaNão se aplicaPonta",Mercado_Receita!$L$2:$L$352)+SUMIF(Mercado_Receita!$S$2:$S$352,"44501B1Convencional pré-pagamentoResidencialResidencial baixa renda – faixa 02Não se aplicaNão se aplicaFora ponta",Mercado_Receita!$L$2:$L$352)+SUMIF(Mercado_Receita!$S$2:$S$352,"44501B1Convencional pré-pagamentoResidencialResidencial baixa renda – faixa 02Não se aplicaNão se aplicaIntermediário",Mercado_Receita!$L$2:$L$352)+SUMIF(Mercado_Receita!$S$2:$S$352,"44501B1Convencional pré-pagamentoResidencialResidencial baixa renda – faixa 02Não se aplicaNão se aplicaNão se aplica",Mercado_Receita!$L$2:$L$352)</f>
        <v>0</v>
      </c>
      <c r="L24" s="13">
        <f>SUMIF(Mercado_Receita!$S$2:$S$352,"44531B1Convencional pré-pagamentoResidencialResidencial baixa renda – faixa 02Não se aplicaNão se aplicaPonta",Mercado_Receita!$L$2:$L$352)+SUMIF(Mercado_Receita!$S$2:$S$352,"44531B1Convencional pré-pagamentoResidencialResidencial baixa renda – faixa 02Não se aplicaNão se aplicaFora ponta",Mercado_Receita!$L$2:$L$352)+SUMIF(Mercado_Receita!$S$2:$S$352,"44531B1Convencional pré-pagamentoResidencialResidencial baixa renda – faixa 02Não se aplicaNão se aplicaIntermediário",Mercado_Receita!$L$2:$L$352)+SUMIF(Mercado_Receita!$S$2:$S$352,"44531B1Convencional pré-pagamentoResidencialResidencial baixa renda – faixa 02Não se aplicaNão se aplicaNão se aplica",Mercado_Receita!$L$2:$L$352)</f>
        <v>0</v>
      </c>
      <c r="M24" s="13">
        <f>SUMIF(Mercado_Receita!$S$2:$S$352,"44562B1Convencional pré-pagamentoResidencialResidencial baixa renda – faixa 02Não se aplicaNão se aplicaPonta",Mercado_Receita!$L$2:$L$352)+SUMIF(Mercado_Receita!$S$2:$S$352,"44562B1Convencional pré-pagamentoResidencialResidencial baixa renda – faixa 02Não se aplicaNão se aplicaFora ponta",Mercado_Receita!$L$2:$L$352)+SUMIF(Mercado_Receita!$S$2:$S$352,"44562B1Convencional pré-pagamentoResidencialResidencial baixa renda – faixa 02Não se aplicaNão se aplicaIntermediário",Mercado_Receita!$L$2:$L$352)+SUMIF(Mercado_Receita!$S$2:$S$352,"44562B1Convencional pré-pagamentoResidencialResidencial baixa renda – faixa 02Não se aplicaNão se aplicaNão se aplica",Mercado_Receita!$L$2:$L$352)</f>
        <v>0</v>
      </c>
      <c r="N24" s="13">
        <f>SUMIF(Mercado_Receita!$S$2:$S$352,"44593B1Convencional pré-pagamentoResidencialResidencial baixa renda – faixa 02Não se aplicaNão se aplicaPonta",Mercado_Receita!$L$2:$L$352)+SUMIF(Mercado_Receita!$S$2:$S$352,"44593B1Convencional pré-pagamentoResidencialResidencial baixa renda – faixa 02Não se aplicaNão se aplicaFora ponta",Mercado_Receita!$L$2:$L$352)+SUMIF(Mercado_Receita!$S$2:$S$352,"44593B1Convencional pré-pagamentoResidencialResidencial baixa renda – faixa 02Não se aplicaNão se aplicaIntermediário",Mercado_Receita!$L$2:$L$352)+SUMIF(Mercado_Receita!$S$2:$S$352,"44593B1Convencional pré-pagamentoResidencialResidencial baixa renda – faixa 02Não se aplicaNão se aplicaNão se aplica",Mercado_Receita!$L$2:$L$352)</f>
        <v>0</v>
      </c>
      <c r="O24" s="13">
        <f>SUMIF(Mercado_Receita!$S$2:$S$352,"44621B1Convencional pré-pagamentoResidencialResidencial baixa renda – faixa 02Não se aplicaNão se aplicaPonta",Mercado_Receita!$L$2:$L$352)+SUMIF(Mercado_Receita!$S$2:$S$352,"44621B1Convencional pré-pagamentoResidencialResidencial baixa renda – faixa 02Não se aplicaNão se aplicaFora ponta",Mercado_Receita!$L$2:$L$352)+SUMIF(Mercado_Receita!$S$2:$S$352,"44621B1Convencional pré-pagamentoResidencialResidencial baixa renda – faixa 02Não se aplicaNão se aplicaIntermediário",Mercado_Receita!$L$2:$L$352)+SUMIF(Mercado_Receita!$S$2:$S$352,"44621B1Convencional pré-pagamentoResidencialResidencial baixa renda – faixa 02Não se aplicaNão se aplicaNão se aplica",Mercado_Receita!$L$2:$L$352)</f>
        <v>0</v>
      </c>
      <c r="P24" s="13">
        <f>SUMIF(Mercado_Receita!$S$2:$S$352,"44652B1Convencional pré-pagamentoResidencialResidencial baixa renda – faixa 02Não se aplicaNão se aplicaPonta",Mercado_Receita!$L$2:$L$352)+SUMIF(Mercado_Receita!$S$2:$S$352,"44652B1Convencional pré-pagamentoResidencialResidencial baixa renda – faixa 02Não se aplicaNão se aplicaFora ponta",Mercado_Receita!$L$2:$L$352)+SUMIF(Mercado_Receita!$S$2:$S$352,"44652B1Convencional pré-pagamentoResidencialResidencial baixa renda – faixa 02Não se aplicaNão se aplicaIntermediário",Mercado_Receita!$L$2:$L$352)+SUMIF(Mercado_Receita!$S$2:$S$352,"44652B1Convencional pré-pagamentoResidencialResidencial baixa renda – faixa 02Não se aplicaNão se aplicaNão se aplica",Mercado_Receita!$L$2:$L$352)</f>
        <v>0</v>
      </c>
      <c r="Q24" s="13">
        <f>SUMIF(Mercado_Receita!$S$2:$S$352,"44682B1Convencional pré-pagamentoResidencialResidencial baixa renda – faixa 02Não se aplicaNão se aplicaPonta",Mercado_Receita!$L$2:$L$352)+SUMIF(Mercado_Receita!$S$2:$S$352,"44682B1Convencional pré-pagamentoResidencialResidencial baixa renda – faixa 02Não se aplicaNão se aplicaFora ponta",Mercado_Receita!$L$2:$L$352)+SUMIF(Mercado_Receita!$S$2:$S$352,"44682B1Convencional pré-pagamentoResidencialResidencial baixa renda – faixa 02Não se aplicaNão se aplicaIntermediário",Mercado_Receita!$L$2:$L$352)+SUMIF(Mercado_Receita!$S$2:$S$352,"44682B1Convencional pré-pagamentoResidencialResidencial baixa renda – faixa 02Não se aplicaNão se aplicaNão se aplica",Mercado_Receita!$L$2:$L$352)</f>
        <v>0</v>
      </c>
      <c r="R24" s="13">
        <f>SUMIF(Mercado_Receita!$S$2:$S$352,"44713B1Convencional pré-pagamentoResidencialResidencial baixa renda – faixa 02Não se aplicaNão se aplicaPonta",Mercado_Receita!$L$2:$L$352)+SUMIF(Mercado_Receita!$S$2:$S$352,"44713B1Convencional pré-pagamentoResidencialResidencial baixa renda – faixa 02Não se aplicaNão se aplicaFora ponta",Mercado_Receita!$L$2:$L$352)+SUMIF(Mercado_Receita!$S$2:$S$352,"44713B1Convencional pré-pagamentoResidencialResidencial baixa renda – faixa 02Não se aplicaNão se aplicaIntermediário",Mercado_Receita!$L$2:$L$352)+SUMIF(Mercado_Receita!$S$2:$S$352,"44713B1Convencional pré-pagamentoResidencialResidencial baixa renda – faixa 02Não se aplicaNão se aplicaNão se aplica",Mercado_Receita!$L$2:$L$352)</f>
        <v>0</v>
      </c>
      <c r="S24" s="13">
        <f>SUMIF(Mercado_Receita!$S$2:$S$352,"44743B1Convencional pré-pagamentoResidencialResidencial baixa renda – faixa 02Não se aplicaNão se aplicaPonta",Mercado_Receita!$L$2:$L$352)+SUMIF(Mercado_Receita!$S$2:$S$352,"44743B1Convencional pré-pagamentoResidencialResidencial baixa renda – faixa 02Não se aplicaNão se aplicaFora ponta",Mercado_Receita!$L$2:$L$352)+SUMIF(Mercado_Receita!$S$2:$S$352,"44743B1Convencional pré-pagamentoResidencialResidencial baixa renda – faixa 02Não se aplicaNão se aplicaIntermediário",Mercado_Receita!$L$2:$L$352)+SUMIF(Mercado_Receita!$S$2:$S$352,"44743B1Convencional pré-pagamentoResidencialResidencial baixa renda – faixa 02Não se aplicaNão se aplicaNão se aplica",Mercado_Receita!$L$2:$L$352)</f>
        <v>0</v>
      </c>
      <c r="T24" s="13">
        <f>SUMIF(Mercado_Receita!$S$2:$S$352,"44774B1Convencional pré-pagamentoResidencialResidencial baixa renda – faixa 02Não se aplicaNão se aplicaPonta",Mercado_Receita!$L$2:$L$352)+SUMIF(Mercado_Receita!$S$2:$S$352,"44774B1Convencional pré-pagamentoResidencialResidencial baixa renda – faixa 02Não se aplicaNão se aplicaFora ponta",Mercado_Receita!$L$2:$L$352)+SUMIF(Mercado_Receita!$S$2:$S$352,"44774B1Convencional pré-pagamentoResidencialResidencial baixa renda – faixa 02Não se aplicaNão se aplicaIntermediário",Mercado_Receita!$L$2:$L$352)+SUMIF(Mercado_Receita!$S$2:$S$352,"44774B1Convencional pré-pagamentoResidencialResidencial baixa renda – faixa 02Não se aplicaNão se aplicaNão se aplica",Mercado_Receita!$L$2:$L$352)</f>
        <v>0</v>
      </c>
      <c r="U24" s="13">
        <f t="shared" si="0"/>
        <v>0</v>
      </c>
      <c r="V24" s="13"/>
      <c r="W24" s="13"/>
    </row>
    <row r="25" spans="1:23" ht="11.25" customHeight="1" x14ac:dyDescent="0.3">
      <c r="A25" s="74"/>
      <c r="B25" s="74"/>
      <c r="C25" s="74"/>
      <c r="D25" s="12" t="s">
        <v>31</v>
      </c>
      <c r="E25" s="12" t="s">
        <v>25</v>
      </c>
      <c r="F25" s="12" t="s">
        <v>25</v>
      </c>
      <c r="G25" s="13" t="s">
        <v>75</v>
      </c>
      <c r="H25" s="13" t="s">
        <v>69</v>
      </c>
      <c r="I25" s="13">
        <f>SUMIF(Mercado_Receita!$S$2:$S$352,"44440B1Convencional pré-pagamentoResidencialResidencial baixa renda – faixa 03Não se aplicaNão se aplicaPonta",Mercado_Receita!$L$2:$L$352)+SUMIF(Mercado_Receita!$S$2:$S$352,"44440B1Convencional pré-pagamentoResidencialResidencial baixa renda – faixa 03Não se aplicaNão se aplicaFora ponta",Mercado_Receita!$L$2:$L$352)+SUMIF(Mercado_Receita!$S$2:$S$352,"44440B1Convencional pré-pagamentoResidencialResidencial baixa renda – faixa 03Não se aplicaNão se aplicaIntermediário",Mercado_Receita!$L$2:$L$352)+SUMIF(Mercado_Receita!$S$2:$S$352,"44440B1Convencional pré-pagamentoResidencialResidencial baixa renda – faixa 03Não se aplicaNão se aplicaNão se aplica",Mercado_Receita!$L$2:$L$352)</f>
        <v>0</v>
      </c>
      <c r="J25" s="13">
        <f>SUMIF(Mercado_Receita!$S$2:$S$352,"44470B1Convencional pré-pagamentoResidencialResidencial baixa renda – faixa 03Não se aplicaNão se aplicaPonta",Mercado_Receita!$L$2:$L$352)+SUMIF(Mercado_Receita!$S$2:$S$352,"44470B1Convencional pré-pagamentoResidencialResidencial baixa renda – faixa 03Não se aplicaNão se aplicaFora ponta",Mercado_Receita!$L$2:$L$352)+SUMIF(Mercado_Receita!$S$2:$S$352,"44470B1Convencional pré-pagamentoResidencialResidencial baixa renda – faixa 03Não se aplicaNão se aplicaIntermediário",Mercado_Receita!$L$2:$L$352)+SUMIF(Mercado_Receita!$S$2:$S$352,"44470B1Convencional pré-pagamentoResidencialResidencial baixa renda – faixa 03Não se aplicaNão se aplicaNão se aplica",Mercado_Receita!$L$2:$L$352)</f>
        <v>0</v>
      </c>
      <c r="K25" s="13">
        <f>SUMIF(Mercado_Receita!$S$2:$S$352,"44501B1Convencional pré-pagamentoResidencialResidencial baixa renda – faixa 03Não se aplicaNão se aplicaPonta",Mercado_Receita!$L$2:$L$352)+SUMIF(Mercado_Receita!$S$2:$S$352,"44501B1Convencional pré-pagamentoResidencialResidencial baixa renda – faixa 03Não se aplicaNão se aplicaFora ponta",Mercado_Receita!$L$2:$L$352)+SUMIF(Mercado_Receita!$S$2:$S$352,"44501B1Convencional pré-pagamentoResidencialResidencial baixa renda – faixa 03Não se aplicaNão se aplicaIntermediário",Mercado_Receita!$L$2:$L$352)+SUMIF(Mercado_Receita!$S$2:$S$352,"44501B1Convencional pré-pagamentoResidencialResidencial baixa renda – faixa 03Não se aplicaNão se aplicaNão se aplica",Mercado_Receita!$L$2:$L$352)</f>
        <v>0</v>
      </c>
      <c r="L25" s="13">
        <f>SUMIF(Mercado_Receita!$S$2:$S$352,"44531B1Convencional pré-pagamentoResidencialResidencial baixa renda – faixa 03Não se aplicaNão se aplicaPonta",Mercado_Receita!$L$2:$L$352)+SUMIF(Mercado_Receita!$S$2:$S$352,"44531B1Convencional pré-pagamentoResidencialResidencial baixa renda – faixa 03Não se aplicaNão se aplicaFora ponta",Mercado_Receita!$L$2:$L$352)+SUMIF(Mercado_Receita!$S$2:$S$352,"44531B1Convencional pré-pagamentoResidencialResidencial baixa renda – faixa 03Não se aplicaNão se aplicaIntermediário",Mercado_Receita!$L$2:$L$352)+SUMIF(Mercado_Receita!$S$2:$S$352,"44531B1Convencional pré-pagamentoResidencialResidencial baixa renda – faixa 03Não se aplicaNão se aplicaNão se aplica",Mercado_Receita!$L$2:$L$352)</f>
        <v>0</v>
      </c>
      <c r="M25" s="13">
        <f>SUMIF(Mercado_Receita!$S$2:$S$352,"44562B1Convencional pré-pagamentoResidencialResidencial baixa renda – faixa 03Não se aplicaNão se aplicaPonta",Mercado_Receita!$L$2:$L$352)+SUMIF(Mercado_Receita!$S$2:$S$352,"44562B1Convencional pré-pagamentoResidencialResidencial baixa renda – faixa 03Não se aplicaNão se aplicaFora ponta",Mercado_Receita!$L$2:$L$352)+SUMIF(Mercado_Receita!$S$2:$S$352,"44562B1Convencional pré-pagamentoResidencialResidencial baixa renda – faixa 03Não se aplicaNão se aplicaIntermediário",Mercado_Receita!$L$2:$L$352)+SUMIF(Mercado_Receita!$S$2:$S$352,"44562B1Convencional pré-pagamentoResidencialResidencial baixa renda – faixa 03Não se aplicaNão se aplicaNão se aplica",Mercado_Receita!$L$2:$L$352)</f>
        <v>0</v>
      </c>
      <c r="N25" s="13">
        <f>SUMIF(Mercado_Receita!$S$2:$S$352,"44593B1Convencional pré-pagamentoResidencialResidencial baixa renda – faixa 03Não se aplicaNão se aplicaPonta",Mercado_Receita!$L$2:$L$352)+SUMIF(Mercado_Receita!$S$2:$S$352,"44593B1Convencional pré-pagamentoResidencialResidencial baixa renda – faixa 03Não se aplicaNão se aplicaFora ponta",Mercado_Receita!$L$2:$L$352)+SUMIF(Mercado_Receita!$S$2:$S$352,"44593B1Convencional pré-pagamentoResidencialResidencial baixa renda – faixa 03Não se aplicaNão se aplicaIntermediário",Mercado_Receita!$L$2:$L$352)+SUMIF(Mercado_Receita!$S$2:$S$352,"44593B1Convencional pré-pagamentoResidencialResidencial baixa renda – faixa 03Não se aplicaNão se aplicaNão se aplica",Mercado_Receita!$L$2:$L$352)</f>
        <v>0</v>
      </c>
      <c r="O25" s="13">
        <f>SUMIF(Mercado_Receita!$S$2:$S$352,"44621B1Convencional pré-pagamentoResidencialResidencial baixa renda – faixa 03Não se aplicaNão se aplicaPonta",Mercado_Receita!$L$2:$L$352)+SUMIF(Mercado_Receita!$S$2:$S$352,"44621B1Convencional pré-pagamentoResidencialResidencial baixa renda – faixa 03Não se aplicaNão se aplicaFora ponta",Mercado_Receita!$L$2:$L$352)+SUMIF(Mercado_Receita!$S$2:$S$352,"44621B1Convencional pré-pagamentoResidencialResidencial baixa renda – faixa 03Não se aplicaNão se aplicaIntermediário",Mercado_Receita!$L$2:$L$352)+SUMIF(Mercado_Receita!$S$2:$S$352,"44621B1Convencional pré-pagamentoResidencialResidencial baixa renda – faixa 03Não se aplicaNão se aplicaNão se aplica",Mercado_Receita!$L$2:$L$352)</f>
        <v>0</v>
      </c>
      <c r="P25" s="13">
        <f>SUMIF(Mercado_Receita!$S$2:$S$352,"44652B1Convencional pré-pagamentoResidencialResidencial baixa renda – faixa 03Não se aplicaNão se aplicaPonta",Mercado_Receita!$L$2:$L$352)+SUMIF(Mercado_Receita!$S$2:$S$352,"44652B1Convencional pré-pagamentoResidencialResidencial baixa renda – faixa 03Não se aplicaNão se aplicaFora ponta",Mercado_Receita!$L$2:$L$352)+SUMIF(Mercado_Receita!$S$2:$S$352,"44652B1Convencional pré-pagamentoResidencialResidencial baixa renda – faixa 03Não se aplicaNão se aplicaIntermediário",Mercado_Receita!$L$2:$L$352)+SUMIF(Mercado_Receita!$S$2:$S$352,"44652B1Convencional pré-pagamentoResidencialResidencial baixa renda – faixa 03Não se aplicaNão se aplicaNão se aplica",Mercado_Receita!$L$2:$L$352)</f>
        <v>0</v>
      </c>
      <c r="Q25" s="13">
        <f>SUMIF(Mercado_Receita!$S$2:$S$352,"44682B1Convencional pré-pagamentoResidencialResidencial baixa renda – faixa 03Não se aplicaNão se aplicaPonta",Mercado_Receita!$L$2:$L$352)+SUMIF(Mercado_Receita!$S$2:$S$352,"44682B1Convencional pré-pagamentoResidencialResidencial baixa renda – faixa 03Não se aplicaNão se aplicaFora ponta",Mercado_Receita!$L$2:$L$352)+SUMIF(Mercado_Receita!$S$2:$S$352,"44682B1Convencional pré-pagamentoResidencialResidencial baixa renda – faixa 03Não se aplicaNão se aplicaIntermediário",Mercado_Receita!$L$2:$L$352)+SUMIF(Mercado_Receita!$S$2:$S$352,"44682B1Convencional pré-pagamentoResidencialResidencial baixa renda – faixa 03Não se aplicaNão se aplicaNão se aplica",Mercado_Receita!$L$2:$L$352)</f>
        <v>0</v>
      </c>
      <c r="R25" s="13">
        <f>SUMIF(Mercado_Receita!$S$2:$S$352,"44713B1Convencional pré-pagamentoResidencialResidencial baixa renda – faixa 03Não se aplicaNão se aplicaPonta",Mercado_Receita!$L$2:$L$352)+SUMIF(Mercado_Receita!$S$2:$S$352,"44713B1Convencional pré-pagamentoResidencialResidencial baixa renda – faixa 03Não se aplicaNão se aplicaFora ponta",Mercado_Receita!$L$2:$L$352)+SUMIF(Mercado_Receita!$S$2:$S$352,"44713B1Convencional pré-pagamentoResidencialResidencial baixa renda – faixa 03Não se aplicaNão se aplicaIntermediário",Mercado_Receita!$L$2:$L$352)+SUMIF(Mercado_Receita!$S$2:$S$352,"44713B1Convencional pré-pagamentoResidencialResidencial baixa renda – faixa 03Não se aplicaNão se aplicaNão se aplica",Mercado_Receita!$L$2:$L$352)</f>
        <v>0</v>
      </c>
      <c r="S25" s="13">
        <f>SUMIF(Mercado_Receita!$S$2:$S$352,"44743B1Convencional pré-pagamentoResidencialResidencial baixa renda – faixa 03Não se aplicaNão se aplicaPonta",Mercado_Receita!$L$2:$L$352)+SUMIF(Mercado_Receita!$S$2:$S$352,"44743B1Convencional pré-pagamentoResidencialResidencial baixa renda – faixa 03Não se aplicaNão se aplicaFora ponta",Mercado_Receita!$L$2:$L$352)+SUMIF(Mercado_Receita!$S$2:$S$352,"44743B1Convencional pré-pagamentoResidencialResidencial baixa renda – faixa 03Não se aplicaNão se aplicaIntermediário",Mercado_Receita!$L$2:$L$352)+SUMIF(Mercado_Receita!$S$2:$S$352,"44743B1Convencional pré-pagamentoResidencialResidencial baixa renda – faixa 03Não se aplicaNão se aplicaNão se aplica",Mercado_Receita!$L$2:$L$352)</f>
        <v>0</v>
      </c>
      <c r="T25" s="13">
        <f>SUMIF(Mercado_Receita!$S$2:$S$352,"44774B1Convencional pré-pagamentoResidencialResidencial baixa renda – faixa 03Não se aplicaNão se aplicaPonta",Mercado_Receita!$L$2:$L$352)+SUMIF(Mercado_Receita!$S$2:$S$352,"44774B1Convencional pré-pagamentoResidencialResidencial baixa renda – faixa 03Não se aplicaNão se aplicaFora ponta",Mercado_Receita!$L$2:$L$352)+SUMIF(Mercado_Receita!$S$2:$S$352,"44774B1Convencional pré-pagamentoResidencialResidencial baixa renda – faixa 03Não se aplicaNão se aplicaIntermediário",Mercado_Receita!$L$2:$L$352)+SUMIF(Mercado_Receita!$S$2:$S$352,"44774B1Convencional pré-pagamentoResidencialResidencial baixa renda – faixa 03Não se aplicaNão se aplicaNão se aplica",Mercado_Receita!$L$2:$L$352)</f>
        <v>0</v>
      </c>
      <c r="U25" s="13">
        <f t="shared" si="0"/>
        <v>0</v>
      </c>
      <c r="V25" s="13"/>
      <c r="W25" s="13"/>
    </row>
    <row r="26" spans="1:23" ht="11.25" customHeight="1" x14ac:dyDescent="0.3">
      <c r="A26" s="74"/>
      <c r="B26" s="74"/>
      <c r="C26" s="74"/>
      <c r="D26" s="12" t="s">
        <v>32</v>
      </c>
      <c r="E26" s="12" t="s">
        <v>25</v>
      </c>
      <c r="F26" s="12" t="s">
        <v>25</v>
      </c>
      <c r="G26" s="13" t="s">
        <v>75</v>
      </c>
      <c r="H26" s="13" t="s">
        <v>69</v>
      </c>
      <c r="I26" s="13">
        <f>SUMIF(Mercado_Receita!$S$2:$S$352,"44440B1Convencional pré-pagamentoResidencialResidencial baixa renda – faixa 04Não se aplicaNão se aplicaPonta",Mercado_Receita!$L$2:$L$352)+SUMIF(Mercado_Receita!$S$2:$S$352,"44440B1Convencional pré-pagamentoResidencialResidencial baixa renda – faixa 04Não se aplicaNão se aplicaFora ponta",Mercado_Receita!$L$2:$L$352)+SUMIF(Mercado_Receita!$S$2:$S$352,"44440B1Convencional pré-pagamentoResidencialResidencial baixa renda – faixa 04Não se aplicaNão se aplicaIntermediário",Mercado_Receita!$L$2:$L$352)+SUMIF(Mercado_Receita!$S$2:$S$352,"44440B1Convencional pré-pagamentoResidencialResidencial baixa renda – faixa 04Não se aplicaNão se aplicaNão se aplica",Mercado_Receita!$L$2:$L$352)</f>
        <v>0</v>
      </c>
      <c r="J26" s="13">
        <f>SUMIF(Mercado_Receita!$S$2:$S$352,"44470B1Convencional pré-pagamentoResidencialResidencial baixa renda – faixa 04Não se aplicaNão se aplicaPonta",Mercado_Receita!$L$2:$L$352)+SUMIF(Mercado_Receita!$S$2:$S$352,"44470B1Convencional pré-pagamentoResidencialResidencial baixa renda – faixa 04Não se aplicaNão se aplicaFora ponta",Mercado_Receita!$L$2:$L$352)+SUMIF(Mercado_Receita!$S$2:$S$352,"44470B1Convencional pré-pagamentoResidencialResidencial baixa renda – faixa 04Não se aplicaNão se aplicaIntermediário",Mercado_Receita!$L$2:$L$352)+SUMIF(Mercado_Receita!$S$2:$S$352,"44470B1Convencional pré-pagamentoResidencialResidencial baixa renda – faixa 04Não se aplicaNão se aplicaNão se aplica",Mercado_Receita!$L$2:$L$352)</f>
        <v>0</v>
      </c>
      <c r="K26" s="13">
        <f>SUMIF(Mercado_Receita!$S$2:$S$352,"44501B1Convencional pré-pagamentoResidencialResidencial baixa renda – faixa 04Não se aplicaNão se aplicaPonta",Mercado_Receita!$L$2:$L$352)+SUMIF(Mercado_Receita!$S$2:$S$352,"44501B1Convencional pré-pagamentoResidencialResidencial baixa renda – faixa 04Não se aplicaNão se aplicaFora ponta",Mercado_Receita!$L$2:$L$352)+SUMIF(Mercado_Receita!$S$2:$S$352,"44501B1Convencional pré-pagamentoResidencialResidencial baixa renda – faixa 04Não se aplicaNão se aplicaIntermediário",Mercado_Receita!$L$2:$L$352)+SUMIF(Mercado_Receita!$S$2:$S$352,"44501B1Convencional pré-pagamentoResidencialResidencial baixa renda – faixa 04Não se aplicaNão se aplicaNão se aplica",Mercado_Receita!$L$2:$L$352)</f>
        <v>0</v>
      </c>
      <c r="L26" s="13">
        <f>SUMIF(Mercado_Receita!$S$2:$S$352,"44531B1Convencional pré-pagamentoResidencialResidencial baixa renda – faixa 04Não se aplicaNão se aplicaPonta",Mercado_Receita!$L$2:$L$352)+SUMIF(Mercado_Receita!$S$2:$S$352,"44531B1Convencional pré-pagamentoResidencialResidencial baixa renda – faixa 04Não se aplicaNão se aplicaFora ponta",Mercado_Receita!$L$2:$L$352)+SUMIF(Mercado_Receita!$S$2:$S$352,"44531B1Convencional pré-pagamentoResidencialResidencial baixa renda – faixa 04Não se aplicaNão se aplicaIntermediário",Mercado_Receita!$L$2:$L$352)+SUMIF(Mercado_Receita!$S$2:$S$352,"44531B1Convencional pré-pagamentoResidencialResidencial baixa renda – faixa 04Não se aplicaNão se aplicaNão se aplica",Mercado_Receita!$L$2:$L$352)</f>
        <v>0</v>
      </c>
      <c r="M26" s="13">
        <f>SUMIF(Mercado_Receita!$S$2:$S$352,"44562B1Convencional pré-pagamentoResidencialResidencial baixa renda – faixa 04Não se aplicaNão se aplicaPonta",Mercado_Receita!$L$2:$L$352)+SUMIF(Mercado_Receita!$S$2:$S$352,"44562B1Convencional pré-pagamentoResidencialResidencial baixa renda – faixa 04Não se aplicaNão se aplicaFora ponta",Mercado_Receita!$L$2:$L$352)+SUMIF(Mercado_Receita!$S$2:$S$352,"44562B1Convencional pré-pagamentoResidencialResidencial baixa renda – faixa 04Não se aplicaNão se aplicaIntermediário",Mercado_Receita!$L$2:$L$352)+SUMIF(Mercado_Receita!$S$2:$S$352,"44562B1Convencional pré-pagamentoResidencialResidencial baixa renda – faixa 04Não se aplicaNão se aplicaNão se aplica",Mercado_Receita!$L$2:$L$352)</f>
        <v>0</v>
      </c>
      <c r="N26" s="13">
        <f>SUMIF(Mercado_Receita!$S$2:$S$352,"44593B1Convencional pré-pagamentoResidencialResidencial baixa renda – faixa 04Não se aplicaNão se aplicaPonta",Mercado_Receita!$L$2:$L$352)+SUMIF(Mercado_Receita!$S$2:$S$352,"44593B1Convencional pré-pagamentoResidencialResidencial baixa renda – faixa 04Não se aplicaNão se aplicaFora ponta",Mercado_Receita!$L$2:$L$352)+SUMIF(Mercado_Receita!$S$2:$S$352,"44593B1Convencional pré-pagamentoResidencialResidencial baixa renda – faixa 04Não se aplicaNão se aplicaIntermediário",Mercado_Receita!$L$2:$L$352)+SUMIF(Mercado_Receita!$S$2:$S$352,"44593B1Convencional pré-pagamentoResidencialResidencial baixa renda – faixa 04Não se aplicaNão se aplicaNão se aplica",Mercado_Receita!$L$2:$L$352)</f>
        <v>0</v>
      </c>
      <c r="O26" s="13">
        <f>SUMIF(Mercado_Receita!$S$2:$S$352,"44621B1Convencional pré-pagamentoResidencialResidencial baixa renda – faixa 04Não se aplicaNão se aplicaPonta",Mercado_Receita!$L$2:$L$352)+SUMIF(Mercado_Receita!$S$2:$S$352,"44621B1Convencional pré-pagamentoResidencialResidencial baixa renda – faixa 04Não se aplicaNão se aplicaFora ponta",Mercado_Receita!$L$2:$L$352)+SUMIF(Mercado_Receita!$S$2:$S$352,"44621B1Convencional pré-pagamentoResidencialResidencial baixa renda – faixa 04Não se aplicaNão se aplicaIntermediário",Mercado_Receita!$L$2:$L$352)+SUMIF(Mercado_Receita!$S$2:$S$352,"44621B1Convencional pré-pagamentoResidencialResidencial baixa renda – faixa 04Não se aplicaNão se aplicaNão se aplica",Mercado_Receita!$L$2:$L$352)</f>
        <v>0</v>
      </c>
      <c r="P26" s="13">
        <f>SUMIF(Mercado_Receita!$S$2:$S$352,"44652B1Convencional pré-pagamentoResidencialResidencial baixa renda – faixa 04Não se aplicaNão se aplicaPonta",Mercado_Receita!$L$2:$L$352)+SUMIF(Mercado_Receita!$S$2:$S$352,"44652B1Convencional pré-pagamentoResidencialResidencial baixa renda – faixa 04Não se aplicaNão se aplicaFora ponta",Mercado_Receita!$L$2:$L$352)+SUMIF(Mercado_Receita!$S$2:$S$352,"44652B1Convencional pré-pagamentoResidencialResidencial baixa renda – faixa 04Não se aplicaNão se aplicaIntermediário",Mercado_Receita!$L$2:$L$352)+SUMIF(Mercado_Receita!$S$2:$S$352,"44652B1Convencional pré-pagamentoResidencialResidencial baixa renda – faixa 04Não se aplicaNão se aplicaNão se aplica",Mercado_Receita!$L$2:$L$352)</f>
        <v>0</v>
      </c>
      <c r="Q26" s="13">
        <f>SUMIF(Mercado_Receita!$S$2:$S$352,"44682B1Convencional pré-pagamentoResidencialResidencial baixa renda – faixa 04Não se aplicaNão se aplicaPonta",Mercado_Receita!$L$2:$L$352)+SUMIF(Mercado_Receita!$S$2:$S$352,"44682B1Convencional pré-pagamentoResidencialResidencial baixa renda – faixa 04Não se aplicaNão se aplicaFora ponta",Mercado_Receita!$L$2:$L$352)+SUMIF(Mercado_Receita!$S$2:$S$352,"44682B1Convencional pré-pagamentoResidencialResidencial baixa renda – faixa 04Não se aplicaNão se aplicaIntermediário",Mercado_Receita!$L$2:$L$352)+SUMIF(Mercado_Receita!$S$2:$S$352,"44682B1Convencional pré-pagamentoResidencialResidencial baixa renda – faixa 04Não se aplicaNão se aplicaNão se aplica",Mercado_Receita!$L$2:$L$352)</f>
        <v>0</v>
      </c>
      <c r="R26" s="13">
        <f>SUMIF(Mercado_Receita!$S$2:$S$352,"44713B1Convencional pré-pagamentoResidencialResidencial baixa renda – faixa 04Não se aplicaNão se aplicaPonta",Mercado_Receita!$L$2:$L$352)+SUMIF(Mercado_Receita!$S$2:$S$352,"44713B1Convencional pré-pagamentoResidencialResidencial baixa renda – faixa 04Não se aplicaNão se aplicaFora ponta",Mercado_Receita!$L$2:$L$352)+SUMIF(Mercado_Receita!$S$2:$S$352,"44713B1Convencional pré-pagamentoResidencialResidencial baixa renda – faixa 04Não se aplicaNão se aplicaIntermediário",Mercado_Receita!$L$2:$L$352)+SUMIF(Mercado_Receita!$S$2:$S$352,"44713B1Convencional pré-pagamentoResidencialResidencial baixa renda – faixa 04Não se aplicaNão se aplicaNão se aplica",Mercado_Receita!$L$2:$L$352)</f>
        <v>0</v>
      </c>
      <c r="S26" s="13">
        <f>SUMIF(Mercado_Receita!$S$2:$S$352,"44743B1Convencional pré-pagamentoResidencialResidencial baixa renda – faixa 04Não se aplicaNão se aplicaPonta",Mercado_Receita!$L$2:$L$352)+SUMIF(Mercado_Receita!$S$2:$S$352,"44743B1Convencional pré-pagamentoResidencialResidencial baixa renda – faixa 04Não se aplicaNão se aplicaFora ponta",Mercado_Receita!$L$2:$L$352)+SUMIF(Mercado_Receita!$S$2:$S$352,"44743B1Convencional pré-pagamentoResidencialResidencial baixa renda – faixa 04Não se aplicaNão se aplicaIntermediário",Mercado_Receita!$L$2:$L$352)+SUMIF(Mercado_Receita!$S$2:$S$352,"44743B1Convencional pré-pagamentoResidencialResidencial baixa renda – faixa 04Não se aplicaNão se aplicaNão se aplica",Mercado_Receita!$L$2:$L$352)</f>
        <v>0</v>
      </c>
      <c r="T26" s="13">
        <f>SUMIF(Mercado_Receita!$S$2:$S$352,"44774B1Convencional pré-pagamentoResidencialResidencial baixa renda – faixa 04Não se aplicaNão se aplicaPonta",Mercado_Receita!$L$2:$L$352)+SUMIF(Mercado_Receita!$S$2:$S$352,"44774B1Convencional pré-pagamentoResidencialResidencial baixa renda – faixa 04Não se aplicaNão se aplicaFora ponta",Mercado_Receita!$L$2:$L$352)+SUMIF(Mercado_Receita!$S$2:$S$352,"44774B1Convencional pré-pagamentoResidencialResidencial baixa renda – faixa 04Não se aplicaNão se aplicaIntermediário",Mercado_Receita!$L$2:$L$352)+SUMIF(Mercado_Receita!$S$2:$S$352,"44774B1Convencional pré-pagamentoResidencialResidencial baixa renda – faixa 04Não se aplicaNão se aplicaNão se aplica",Mercado_Receita!$L$2:$L$352)</f>
        <v>0</v>
      </c>
      <c r="U26" s="13">
        <f t="shared" si="0"/>
        <v>0</v>
      </c>
      <c r="V26" s="13"/>
      <c r="W26" s="13"/>
    </row>
    <row r="27" spans="1:23" ht="11.25" customHeight="1" x14ac:dyDescent="0.3">
      <c r="A27" s="73" t="s">
        <v>42</v>
      </c>
      <c r="B27" s="73" t="s">
        <v>39</v>
      </c>
      <c r="C27" s="73" t="s">
        <v>43</v>
      </c>
      <c r="D27" s="73" t="s">
        <v>25</v>
      </c>
      <c r="E27" s="73" t="s">
        <v>25</v>
      </c>
      <c r="F27" s="73" t="s">
        <v>25</v>
      </c>
      <c r="G27" s="13" t="s">
        <v>70</v>
      </c>
      <c r="H27" s="13" t="s">
        <v>69</v>
      </c>
      <c r="I27" s="13">
        <f>SUMIF(Mercado_Receita!$S$2:$S$352,"44440B2BrancaRuralNão se aplicaNão se aplicaNão se aplicaPonta",Mercado_Receita!$L$2:$L$352)</f>
        <v>0</v>
      </c>
      <c r="J27" s="13">
        <f>SUMIF(Mercado_Receita!$S$2:$S$352,"44470B2BrancaRuralNão se aplicaNão se aplicaNão se aplicaPonta",Mercado_Receita!$L$2:$L$352)</f>
        <v>0</v>
      </c>
      <c r="K27" s="13">
        <f>SUMIF(Mercado_Receita!$S$2:$S$352,"44501B2BrancaRuralNão se aplicaNão se aplicaNão se aplicaPonta",Mercado_Receita!$L$2:$L$352)</f>
        <v>0</v>
      </c>
      <c r="L27" s="13">
        <f>SUMIF(Mercado_Receita!$S$2:$S$352,"44531B2BrancaRuralNão se aplicaNão se aplicaNão se aplicaPonta",Mercado_Receita!$L$2:$L$352)</f>
        <v>0</v>
      </c>
      <c r="M27" s="13">
        <f>SUMIF(Mercado_Receita!$S$2:$S$352,"44562B2BrancaRuralNão se aplicaNão se aplicaNão se aplicaPonta",Mercado_Receita!$L$2:$L$352)</f>
        <v>0</v>
      </c>
      <c r="N27" s="13">
        <f>SUMIF(Mercado_Receita!$S$2:$S$352,"44593B2BrancaRuralNão se aplicaNão se aplicaNão se aplicaPonta",Mercado_Receita!$L$2:$L$352)</f>
        <v>0</v>
      </c>
      <c r="O27" s="13">
        <f>SUMIF(Mercado_Receita!$S$2:$S$352,"44621B2BrancaRuralNão se aplicaNão se aplicaNão se aplicaPonta",Mercado_Receita!$L$2:$L$352)</f>
        <v>0</v>
      </c>
      <c r="P27" s="13">
        <f>SUMIF(Mercado_Receita!$S$2:$S$352,"44652B2BrancaRuralNão se aplicaNão se aplicaNão se aplicaPonta",Mercado_Receita!$L$2:$L$352)</f>
        <v>0</v>
      </c>
      <c r="Q27" s="13">
        <f>SUMIF(Mercado_Receita!$S$2:$S$352,"44682B2BrancaRuralNão se aplicaNão se aplicaNão se aplicaPonta",Mercado_Receita!$L$2:$L$352)</f>
        <v>0</v>
      </c>
      <c r="R27" s="13">
        <f>SUMIF(Mercado_Receita!$S$2:$S$352,"44713B2BrancaRuralNão se aplicaNão se aplicaNão se aplicaPonta",Mercado_Receita!$L$2:$L$352)</f>
        <v>0</v>
      </c>
      <c r="S27" s="13">
        <f>SUMIF(Mercado_Receita!$S$2:$S$352,"44743B2BrancaRuralNão se aplicaNão se aplicaNão se aplicaPonta",Mercado_Receita!$L$2:$L$352)</f>
        <v>0</v>
      </c>
      <c r="T27" s="13">
        <f>SUMIF(Mercado_Receita!$S$2:$S$352,"44774B2BrancaRuralNão se aplicaNão se aplicaNão se aplicaPonta",Mercado_Receita!$L$2:$L$352)</f>
        <v>0</v>
      </c>
      <c r="U27" s="13">
        <f t="shared" si="0"/>
        <v>0</v>
      </c>
      <c r="V27" s="13"/>
      <c r="W27" s="13"/>
    </row>
    <row r="28" spans="1:23" ht="11.25" customHeight="1" x14ac:dyDescent="0.3">
      <c r="A28" s="74"/>
      <c r="B28" s="74"/>
      <c r="C28" s="74"/>
      <c r="D28" s="74"/>
      <c r="E28" s="74"/>
      <c r="F28" s="74"/>
      <c r="G28" s="13" t="s">
        <v>81</v>
      </c>
      <c r="H28" s="13" t="s">
        <v>69</v>
      </c>
      <c r="I28" s="13">
        <f>SUMIF(Mercado_Receita!$S$2:$S$352,"44440B2BrancaRuralNão se aplicaNão se aplicaNão se aplicaIntermediário",Mercado_Receita!$L$2:$L$352)</f>
        <v>0</v>
      </c>
      <c r="J28" s="13">
        <f>SUMIF(Mercado_Receita!$S$2:$S$352,"44470B2BrancaRuralNão se aplicaNão se aplicaNão se aplicaIntermediário",Mercado_Receita!$L$2:$L$352)</f>
        <v>0</v>
      </c>
      <c r="K28" s="13">
        <f>SUMIF(Mercado_Receita!$S$2:$S$352,"44501B2BrancaRuralNão se aplicaNão se aplicaNão se aplicaIntermediário",Mercado_Receita!$L$2:$L$352)</f>
        <v>0</v>
      </c>
      <c r="L28" s="13">
        <f>SUMIF(Mercado_Receita!$S$2:$S$352,"44531B2BrancaRuralNão se aplicaNão se aplicaNão se aplicaIntermediário",Mercado_Receita!$L$2:$L$352)</f>
        <v>0</v>
      </c>
      <c r="M28" s="13">
        <f>SUMIF(Mercado_Receita!$S$2:$S$352,"44562B2BrancaRuralNão se aplicaNão se aplicaNão se aplicaIntermediário",Mercado_Receita!$L$2:$L$352)</f>
        <v>0</v>
      </c>
      <c r="N28" s="13">
        <f>SUMIF(Mercado_Receita!$S$2:$S$352,"44593B2BrancaRuralNão se aplicaNão se aplicaNão se aplicaIntermediário",Mercado_Receita!$L$2:$L$352)</f>
        <v>0</v>
      </c>
      <c r="O28" s="13">
        <f>SUMIF(Mercado_Receita!$S$2:$S$352,"44621B2BrancaRuralNão se aplicaNão se aplicaNão se aplicaIntermediário",Mercado_Receita!$L$2:$L$352)</f>
        <v>0</v>
      </c>
      <c r="P28" s="13">
        <f>SUMIF(Mercado_Receita!$S$2:$S$352,"44652B2BrancaRuralNão se aplicaNão se aplicaNão se aplicaIntermediário",Mercado_Receita!$L$2:$L$352)</f>
        <v>0</v>
      </c>
      <c r="Q28" s="13">
        <f>SUMIF(Mercado_Receita!$S$2:$S$352,"44682B2BrancaRuralNão se aplicaNão se aplicaNão se aplicaIntermediário",Mercado_Receita!$L$2:$L$352)</f>
        <v>0</v>
      </c>
      <c r="R28" s="13">
        <f>SUMIF(Mercado_Receita!$S$2:$S$352,"44713B2BrancaRuralNão se aplicaNão se aplicaNão se aplicaIntermediário",Mercado_Receita!$L$2:$L$352)</f>
        <v>0</v>
      </c>
      <c r="S28" s="13">
        <f>SUMIF(Mercado_Receita!$S$2:$S$352,"44743B2BrancaRuralNão se aplicaNão se aplicaNão se aplicaIntermediário",Mercado_Receita!$L$2:$L$352)</f>
        <v>0</v>
      </c>
      <c r="T28" s="13">
        <f>SUMIF(Mercado_Receita!$S$2:$S$352,"44774B2BrancaRuralNão se aplicaNão se aplicaNão se aplicaIntermediário",Mercado_Receita!$L$2:$L$352)</f>
        <v>0</v>
      </c>
      <c r="U28" s="13">
        <f t="shared" si="0"/>
        <v>0</v>
      </c>
      <c r="V28" s="13"/>
      <c r="W28" s="13"/>
    </row>
    <row r="29" spans="1:23" ht="11.25" customHeight="1" x14ac:dyDescent="0.3">
      <c r="A29" s="74"/>
      <c r="B29" s="74"/>
      <c r="C29" s="74"/>
      <c r="D29" s="74"/>
      <c r="E29" s="74"/>
      <c r="F29" s="74"/>
      <c r="G29" s="13" t="s">
        <v>71</v>
      </c>
      <c r="H29" s="13" t="s">
        <v>69</v>
      </c>
      <c r="I29" s="13">
        <f>SUMIF(Mercado_Receita!$S$2:$S$352,"44440B2BrancaRuralNão se aplicaNão se aplicaNão se aplicaFora ponta",Mercado_Receita!$L$2:$L$352)</f>
        <v>0</v>
      </c>
      <c r="J29" s="13">
        <f>SUMIF(Mercado_Receita!$S$2:$S$352,"44470B2BrancaRuralNão se aplicaNão se aplicaNão se aplicaFora ponta",Mercado_Receita!$L$2:$L$352)</f>
        <v>0</v>
      </c>
      <c r="K29" s="13">
        <f>SUMIF(Mercado_Receita!$S$2:$S$352,"44501B2BrancaRuralNão se aplicaNão se aplicaNão se aplicaFora ponta",Mercado_Receita!$L$2:$L$352)</f>
        <v>0</v>
      </c>
      <c r="L29" s="13">
        <f>SUMIF(Mercado_Receita!$S$2:$S$352,"44531B2BrancaRuralNão se aplicaNão se aplicaNão se aplicaFora ponta",Mercado_Receita!$L$2:$L$352)</f>
        <v>0</v>
      </c>
      <c r="M29" s="13">
        <f>SUMIF(Mercado_Receita!$S$2:$S$352,"44562B2BrancaRuralNão se aplicaNão se aplicaNão se aplicaFora ponta",Mercado_Receita!$L$2:$L$352)</f>
        <v>0</v>
      </c>
      <c r="N29" s="13">
        <f>SUMIF(Mercado_Receita!$S$2:$S$352,"44593B2BrancaRuralNão se aplicaNão se aplicaNão se aplicaFora ponta",Mercado_Receita!$L$2:$L$352)</f>
        <v>0</v>
      </c>
      <c r="O29" s="13">
        <f>SUMIF(Mercado_Receita!$S$2:$S$352,"44621B2BrancaRuralNão se aplicaNão se aplicaNão se aplicaFora ponta",Mercado_Receita!$L$2:$L$352)</f>
        <v>0</v>
      </c>
      <c r="P29" s="13">
        <f>SUMIF(Mercado_Receita!$S$2:$S$352,"44652B2BrancaRuralNão se aplicaNão se aplicaNão se aplicaFora ponta",Mercado_Receita!$L$2:$L$352)</f>
        <v>0</v>
      </c>
      <c r="Q29" s="13">
        <f>SUMIF(Mercado_Receita!$S$2:$S$352,"44682B2BrancaRuralNão se aplicaNão se aplicaNão se aplicaFora ponta",Mercado_Receita!$L$2:$L$352)</f>
        <v>0</v>
      </c>
      <c r="R29" s="13">
        <f>SUMIF(Mercado_Receita!$S$2:$S$352,"44713B2BrancaRuralNão se aplicaNão se aplicaNão se aplicaFora ponta",Mercado_Receita!$L$2:$L$352)</f>
        <v>0</v>
      </c>
      <c r="S29" s="13">
        <f>SUMIF(Mercado_Receita!$S$2:$S$352,"44743B2BrancaRuralNão se aplicaNão se aplicaNão se aplicaFora ponta",Mercado_Receita!$L$2:$L$352)</f>
        <v>0</v>
      </c>
      <c r="T29" s="13">
        <f>SUMIF(Mercado_Receita!$S$2:$S$352,"44774B2BrancaRuralNão se aplicaNão se aplicaNão se aplicaFora ponta",Mercado_Receita!$L$2:$L$352)</f>
        <v>0</v>
      </c>
      <c r="U29" s="13">
        <f t="shared" si="0"/>
        <v>0</v>
      </c>
      <c r="V29" s="13"/>
      <c r="W29" s="13"/>
    </row>
    <row r="30" spans="1:23" ht="11.25" customHeight="1" x14ac:dyDescent="0.3">
      <c r="A30" s="74"/>
      <c r="B30" s="12" t="s">
        <v>23</v>
      </c>
      <c r="C30" s="12" t="s">
        <v>43</v>
      </c>
      <c r="D30" s="12" t="s">
        <v>25</v>
      </c>
      <c r="E30" s="12" t="s">
        <v>25</v>
      </c>
      <c r="F30" s="12" t="s">
        <v>25</v>
      </c>
      <c r="G30" s="13" t="s">
        <v>75</v>
      </c>
      <c r="H30" s="13" t="s">
        <v>69</v>
      </c>
      <c r="I30" s="13">
        <f>SUMIF(Mercado_Receita!$S$2:$S$352,"44440B2ConvencionalRuralNão se aplicaNão se aplicaNão se aplicaPonta",Mercado_Receita!$L$2:$L$352)+SUMIF(Mercado_Receita!$S$2:$S$352,"44440B2ConvencionalRuralNão se aplicaNão se aplicaNão se aplicaFora ponta",Mercado_Receita!$L$2:$L$352)+SUMIF(Mercado_Receita!$S$2:$S$352,"44440B2ConvencionalRuralNão se aplicaNão se aplicaNão se aplicaIntermediário",Mercado_Receita!$L$2:$L$352)+SUMIF(Mercado_Receita!$S$2:$S$352,"44440B2ConvencionalRuralNão se aplicaNão se aplicaNão se aplicaNão se aplica",Mercado_Receita!$L$2:$L$352)</f>
        <v>256.27099999999996</v>
      </c>
      <c r="J30" s="13">
        <f>SUMIF(Mercado_Receita!$S$2:$S$352,"44470B2ConvencionalRuralNão se aplicaNão se aplicaNão se aplicaPonta",Mercado_Receita!$L$2:$L$352)+SUMIF(Mercado_Receita!$S$2:$S$352,"44470B2ConvencionalRuralNão se aplicaNão se aplicaNão se aplicaFora ponta",Mercado_Receita!$L$2:$L$352)+SUMIF(Mercado_Receita!$S$2:$S$352,"44470B2ConvencionalRuralNão se aplicaNão se aplicaNão se aplicaIntermediário",Mercado_Receita!$L$2:$L$352)+SUMIF(Mercado_Receita!$S$2:$S$352,"44470B2ConvencionalRuralNão se aplicaNão se aplicaNão se aplicaNão se aplica",Mercado_Receita!$L$2:$L$352)</f>
        <v>290.40199999999999</v>
      </c>
      <c r="K30" s="13">
        <f>SUMIF(Mercado_Receita!$S$2:$S$352,"44501B2ConvencionalRuralNão se aplicaNão se aplicaNão se aplicaPonta",Mercado_Receita!$L$2:$L$352)+SUMIF(Mercado_Receita!$S$2:$S$352,"44501B2ConvencionalRuralNão se aplicaNão se aplicaNão se aplicaFora ponta",Mercado_Receita!$L$2:$L$352)+SUMIF(Mercado_Receita!$S$2:$S$352,"44501B2ConvencionalRuralNão se aplicaNão se aplicaNão se aplicaIntermediário",Mercado_Receita!$L$2:$L$352)+SUMIF(Mercado_Receita!$S$2:$S$352,"44501B2ConvencionalRuralNão se aplicaNão se aplicaNão se aplicaNão se aplica",Mercado_Receita!$L$2:$L$352)</f>
        <v>265.36500000000001</v>
      </c>
      <c r="L30" s="13">
        <f>SUMIF(Mercado_Receita!$S$2:$S$352,"44531B2ConvencionalRuralNão se aplicaNão se aplicaNão se aplicaPonta",Mercado_Receita!$L$2:$L$352)+SUMIF(Mercado_Receita!$S$2:$S$352,"44531B2ConvencionalRuralNão se aplicaNão se aplicaNão se aplicaFora ponta",Mercado_Receita!$L$2:$L$352)+SUMIF(Mercado_Receita!$S$2:$S$352,"44531B2ConvencionalRuralNão se aplicaNão se aplicaNão se aplicaIntermediário",Mercado_Receita!$L$2:$L$352)+SUMIF(Mercado_Receita!$S$2:$S$352,"44531B2ConvencionalRuralNão se aplicaNão se aplicaNão se aplicaNão se aplica",Mercado_Receita!$L$2:$L$352)</f>
        <v>262.15100000000001</v>
      </c>
      <c r="M30" s="13">
        <f>SUMIF(Mercado_Receita!$S$2:$S$352,"44562B2ConvencionalRuralNão se aplicaNão se aplicaNão se aplicaPonta",Mercado_Receita!$L$2:$L$352)+SUMIF(Mercado_Receita!$S$2:$S$352,"44562B2ConvencionalRuralNão se aplicaNão se aplicaNão se aplicaFora ponta",Mercado_Receita!$L$2:$L$352)+SUMIF(Mercado_Receita!$S$2:$S$352,"44562B2ConvencionalRuralNão se aplicaNão se aplicaNão se aplicaIntermediário",Mercado_Receita!$L$2:$L$352)+SUMIF(Mercado_Receita!$S$2:$S$352,"44562B2ConvencionalRuralNão se aplicaNão se aplicaNão se aplicaNão se aplica",Mercado_Receita!$L$2:$L$352)</f>
        <v>316.34700000000004</v>
      </c>
      <c r="N30" s="13">
        <f>SUMIF(Mercado_Receita!$S$2:$S$352,"44593B2ConvencionalRuralNão se aplicaNão se aplicaNão se aplicaPonta",Mercado_Receita!$L$2:$L$352)+SUMIF(Mercado_Receita!$S$2:$S$352,"44593B2ConvencionalRuralNão se aplicaNão se aplicaNão se aplicaFora ponta",Mercado_Receita!$L$2:$L$352)+SUMIF(Mercado_Receita!$S$2:$S$352,"44593B2ConvencionalRuralNão se aplicaNão se aplicaNão se aplicaIntermediário",Mercado_Receita!$L$2:$L$352)+SUMIF(Mercado_Receita!$S$2:$S$352,"44593B2ConvencionalRuralNão se aplicaNão se aplicaNão se aplicaNão se aplica",Mercado_Receita!$L$2:$L$352)</f>
        <v>342.84</v>
      </c>
      <c r="O30" s="13">
        <f>SUMIF(Mercado_Receita!$S$2:$S$352,"44621B2ConvencionalRuralNão se aplicaNão se aplicaNão se aplicaPonta",Mercado_Receita!$L$2:$L$352)+SUMIF(Mercado_Receita!$S$2:$S$352,"44621B2ConvencionalRuralNão se aplicaNão se aplicaNão se aplicaFora ponta",Mercado_Receita!$L$2:$L$352)+SUMIF(Mercado_Receita!$S$2:$S$352,"44621B2ConvencionalRuralNão se aplicaNão se aplicaNão se aplicaIntermediário",Mercado_Receita!$L$2:$L$352)+SUMIF(Mercado_Receita!$S$2:$S$352,"44621B2ConvencionalRuralNão se aplicaNão se aplicaNão se aplicaNão se aplica",Mercado_Receita!$L$2:$L$352)</f>
        <v>306.62699999999995</v>
      </c>
      <c r="P30" s="13">
        <f>SUMIF(Mercado_Receita!$S$2:$S$352,"44652B2ConvencionalRuralNão se aplicaNão se aplicaNão se aplicaPonta",Mercado_Receita!$L$2:$L$352)+SUMIF(Mercado_Receita!$S$2:$S$352,"44652B2ConvencionalRuralNão se aplicaNão se aplicaNão se aplicaFora ponta",Mercado_Receita!$L$2:$L$352)+SUMIF(Mercado_Receita!$S$2:$S$352,"44652B2ConvencionalRuralNão se aplicaNão se aplicaNão se aplicaIntermediário",Mercado_Receita!$L$2:$L$352)+SUMIF(Mercado_Receita!$S$2:$S$352,"44652B2ConvencionalRuralNão se aplicaNão se aplicaNão se aplicaNão se aplica",Mercado_Receita!$L$2:$L$352)</f>
        <v>260.39500000000004</v>
      </c>
      <c r="Q30" s="13">
        <f>SUMIF(Mercado_Receita!$S$2:$S$352,"44682B2ConvencionalRuralNão se aplicaNão se aplicaNão se aplicaPonta",Mercado_Receita!$L$2:$L$352)+SUMIF(Mercado_Receita!$S$2:$S$352,"44682B2ConvencionalRuralNão se aplicaNão se aplicaNão se aplicaFora ponta",Mercado_Receita!$L$2:$L$352)+SUMIF(Mercado_Receita!$S$2:$S$352,"44682B2ConvencionalRuralNão se aplicaNão se aplicaNão se aplicaIntermediário",Mercado_Receita!$L$2:$L$352)+SUMIF(Mercado_Receita!$S$2:$S$352,"44682B2ConvencionalRuralNão se aplicaNão se aplicaNão se aplicaNão se aplica",Mercado_Receita!$L$2:$L$352)</f>
        <v>233.857</v>
      </c>
      <c r="R30" s="13">
        <f>SUMIF(Mercado_Receita!$S$2:$S$352,"44713B2ConvencionalRuralNão se aplicaNão se aplicaNão se aplicaPonta",Mercado_Receita!$L$2:$L$352)+SUMIF(Mercado_Receita!$S$2:$S$352,"44713B2ConvencionalRuralNão se aplicaNão se aplicaNão se aplicaFora ponta",Mercado_Receita!$L$2:$L$352)+SUMIF(Mercado_Receita!$S$2:$S$352,"44713B2ConvencionalRuralNão se aplicaNão se aplicaNão se aplicaIntermediário",Mercado_Receita!$L$2:$L$352)+SUMIF(Mercado_Receita!$S$2:$S$352,"44713B2ConvencionalRuralNão se aplicaNão se aplicaNão se aplicaNão se aplica",Mercado_Receita!$L$2:$L$352)</f>
        <v>297.43399999999997</v>
      </c>
      <c r="S30" s="13">
        <f>SUMIF(Mercado_Receita!$S$2:$S$352,"44743B2ConvencionalRuralNão se aplicaNão se aplicaNão se aplicaPonta",Mercado_Receita!$L$2:$L$352)+SUMIF(Mercado_Receita!$S$2:$S$352,"44743B2ConvencionalRuralNão se aplicaNão se aplicaNão se aplicaFora ponta",Mercado_Receita!$L$2:$L$352)+SUMIF(Mercado_Receita!$S$2:$S$352,"44743B2ConvencionalRuralNão se aplicaNão se aplicaNão se aplicaIntermediário",Mercado_Receita!$L$2:$L$352)+SUMIF(Mercado_Receita!$S$2:$S$352,"44743B2ConvencionalRuralNão se aplicaNão se aplicaNão se aplicaNão se aplica",Mercado_Receita!$L$2:$L$352)</f>
        <v>269.66199999999998</v>
      </c>
      <c r="T30" s="13">
        <f>SUMIF(Mercado_Receita!$S$2:$S$352,"44774B2ConvencionalRuralNão se aplicaNão se aplicaNão se aplicaPonta",Mercado_Receita!$L$2:$L$352)+SUMIF(Mercado_Receita!$S$2:$S$352,"44774B2ConvencionalRuralNão se aplicaNão se aplicaNão se aplicaFora ponta",Mercado_Receita!$L$2:$L$352)+SUMIF(Mercado_Receita!$S$2:$S$352,"44774B2ConvencionalRuralNão se aplicaNão se aplicaNão se aplicaIntermediário",Mercado_Receita!$L$2:$L$352)+SUMIF(Mercado_Receita!$S$2:$S$352,"44774B2ConvencionalRuralNão se aplicaNão se aplicaNão se aplicaNão se aplica",Mercado_Receita!$L$2:$L$352)</f>
        <v>269.66199999999998</v>
      </c>
      <c r="U30" s="13">
        <f t="shared" si="0"/>
        <v>3371.0129999999999</v>
      </c>
      <c r="V30" s="13"/>
      <c r="W30" s="13"/>
    </row>
    <row r="31" spans="1:23" ht="11.25" customHeight="1" x14ac:dyDescent="0.3">
      <c r="A31" s="74"/>
      <c r="B31" s="73" t="s">
        <v>39</v>
      </c>
      <c r="C31" s="73" t="s">
        <v>43</v>
      </c>
      <c r="D31" s="73" t="s">
        <v>85</v>
      </c>
      <c r="E31" s="73" t="s">
        <v>25</v>
      </c>
      <c r="F31" s="73" t="s">
        <v>25</v>
      </c>
      <c r="G31" s="13" t="s">
        <v>70</v>
      </c>
      <c r="H31" s="13" t="s">
        <v>69</v>
      </c>
      <c r="I31" s="13">
        <f>SUMIF(Mercado_Receita!$S$2:$S$352,"44440B2BrancaRuralCooperativa de eletrificação ruralNão se aplicaNão se aplicaPonta",Mercado_Receita!$L$2:$L$352)</f>
        <v>0</v>
      </c>
      <c r="J31" s="13">
        <f>SUMIF(Mercado_Receita!$S$2:$S$352,"44470B2BrancaRuralCooperativa de eletrificação ruralNão se aplicaNão se aplicaPonta",Mercado_Receita!$L$2:$L$352)</f>
        <v>0</v>
      </c>
      <c r="K31" s="13">
        <f>SUMIF(Mercado_Receita!$S$2:$S$352,"44501B2BrancaRuralCooperativa de eletrificação ruralNão se aplicaNão se aplicaPonta",Mercado_Receita!$L$2:$L$352)</f>
        <v>0</v>
      </c>
      <c r="L31" s="13">
        <f>SUMIF(Mercado_Receita!$S$2:$S$352,"44531B2BrancaRuralCooperativa de eletrificação ruralNão se aplicaNão se aplicaPonta",Mercado_Receita!$L$2:$L$352)</f>
        <v>0</v>
      </c>
      <c r="M31" s="13">
        <f>SUMIF(Mercado_Receita!$S$2:$S$352,"44562B2BrancaRuralCooperativa de eletrificação ruralNão se aplicaNão se aplicaPonta",Mercado_Receita!$L$2:$L$352)</f>
        <v>0</v>
      </c>
      <c r="N31" s="13">
        <f>SUMIF(Mercado_Receita!$S$2:$S$352,"44593B2BrancaRuralCooperativa de eletrificação ruralNão se aplicaNão se aplicaPonta",Mercado_Receita!$L$2:$L$352)</f>
        <v>0</v>
      </c>
      <c r="O31" s="13">
        <f>SUMIF(Mercado_Receita!$S$2:$S$352,"44621B2BrancaRuralCooperativa de eletrificação ruralNão se aplicaNão se aplicaPonta",Mercado_Receita!$L$2:$L$352)</f>
        <v>0</v>
      </c>
      <c r="P31" s="13">
        <f>SUMIF(Mercado_Receita!$S$2:$S$352,"44652B2BrancaRuralCooperativa de eletrificação ruralNão se aplicaNão se aplicaPonta",Mercado_Receita!$L$2:$L$352)</f>
        <v>0</v>
      </c>
      <c r="Q31" s="13">
        <f>SUMIF(Mercado_Receita!$S$2:$S$352,"44682B2BrancaRuralCooperativa de eletrificação ruralNão se aplicaNão se aplicaPonta",Mercado_Receita!$L$2:$L$352)</f>
        <v>0</v>
      </c>
      <c r="R31" s="13">
        <f>SUMIF(Mercado_Receita!$S$2:$S$352,"44713B2BrancaRuralCooperativa de eletrificação ruralNão se aplicaNão se aplicaPonta",Mercado_Receita!$L$2:$L$352)</f>
        <v>0</v>
      </c>
      <c r="S31" s="13">
        <f>SUMIF(Mercado_Receita!$S$2:$S$352,"44743B2BrancaRuralCooperativa de eletrificação ruralNão se aplicaNão se aplicaPonta",Mercado_Receita!$L$2:$L$352)</f>
        <v>0</v>
      </c>
      <c r="T31" s="13">
        <f>SUMIF(Mercado_Receita!$S$2:$S$352,"44774B2BrancaRuralCooperativa de eletrificação ruralNão se aplicaNão se aplicaPonta",Mercado_Receita!$L$2:$L$352)</f>
        <v>0</v>
      </c>
      <c r="U31" s="13">
        <f t="shared" si="0"/>
        <v>0</v>
      </c>
      <c r="V31" s="13"/>
      <c r="W31" s="13"/>
    </row>
    <row r="32" spans="1:23" ht="11.25" customHeight="1" x14ac:dyDescent="0.3">
      <c r="A32" s="74"/>
      <c r="B32" s="74"/>
      <c r="C32" s="74"/>
      <c r="D32" s="74"/>
      <c r="E32" s="74"/>
      <c r="F32" s="74"/>
      <c r="G32" s="13" t="s">
        <v>81</v>
      </c>
      <c r="H32" s="13" t="s">
        <v>69</v>
      </c>
      <c r="I32" s="13">
        <f>SUMIF(Mercado_Receita!$S$2:$S$352,"44440B2BrancaRuralCooperativa de eletrificação ruralNão se aplicaNão se aplicaIntermediário",Mercado_Receita!$L$2:$L$352)</f>
        <v>0</v>
      </c>
      <c r="J32" s="13">
        <f>SUMIF(Mercado_Receita!$S$2:$S$352,"44470B2BrancaRuralCooperativa de eletrificação ruralNão se aplicaNão se aplicaIntermediário",Mercado_Receita!$L$2:$L$352)</f>
        <v>0</v>
      </c>
      <c r="K32" s="13">
        <f>SUMIF(Mercado_Receita!$S$2:$S$352,"44501B2BrancaRuralCooperativa de eletrificação ruralNão se aplicaNão se aplicaIntermediário",Mercado_Receita!$L$2:$L$352)</f>
        <v>0</v>
      </c>
      <c r="L32" s="13">
        <f>SUMIF(Mercado_Receita!$S$2:$S$352,"44531B2BrancaRuralCooperativa de eletrificação ruralNão se aplicaNão se aplicaIntermediário",Mercado_Receita!$L$2:$L$352)</f>
        <v>0</v>
      </c>
      <c r="M32" s="13">
        <f>SUMIF(Mercado_Receita!$S$2:$S$352,"44562B2BrancaRuralCooperativa de eletrificação ruralNão se aplicaNão se aplicaIntermediário",Mercado_Receita!$L$2:$L$352)</f>
        <v>0</v>
      </c>
      <c r="N32" s="13">
        <f>SUMIF(Mercado_Receita!$S$2:$S$352,"44593B2BrancaRuralCooperativa de eletrificação ruralNão se aplicaNão se aplicaIntermediário",Mercado_Receita!$L$2:$L$352)</f>
        <v>0</v>
      </c>
      <c r="O32" s="13">
        <f>SUMIF(Mercado_Receita!$S$2:$S$352,"44621B2BrancaRuralCooperativa de eletrificação ruralNão se aplicaNão se aplicaIntermediário",Mercado_Receita!$L$2:$L$352)</f>
        <v>0</v>
      </c>
      <c r="P32" s="13">
        <f>SUMIF(Mercado_Receita!$S$2:$S$352,"44652B2BrancaRuralCooperativa de eletrificação ruralNão se aplicaNão se aplicaIntermediário",Mercado_Receita!$L$2:$L$352)</f>
        <v>0</v>
      </c>
      <c r="Q32" s="13">
        <f>SUMIF(Mercado_Receita!$S$2:$S$352,"44682B2BrancaRuralCooperativa de eletrificação ruralNão se aplicaNão se aplicaIntermediário",Mercado_Receita!$L$2:$L$352)</f>
        <v>0</v>
      </c>
      <c r="R32" s="13">
        <f>SUMIF(Mercado_Receita!$S$2:$S$352,"44713B2BrancaRuralCooperativa de eletrificação ruralNão se aplicaNão se aplicaIntermediário",Mercado_Receita!$L$2:$L$352)</f>
        <v>0</v>
      </c>
      <c r="S32" s="13">
        <f>SUMIF(Mercado_Receita!$S$2:$S$352,"44743B2BrancaRuralCooperativa de eletrificação ruralNão se aplicaNão se aplicaIntermediário",Mercado_Receita!$L$2:$L$352)</f>
        <v>0</v>
      </c>
      <c r="T32" s="13">
        <f>SUMIF(Mercado_Receita!$S$2:$S$352,"44774B2BrancaRuralCooperativa de eletrificação ruralNão se aplicaNão se aplicaIntermediário",Mercado_Receita!$L$2:$L$352)</f>
        <v>0</v>
      </c>
      <c r="U32" s="13">
        <f t="shared" si="0"/>
        <v>0</v>
      </c>
      <c r="V32" s="13"/>
      <c r="W32" s="13"/>
    </row>
    <row r="33" spans="1:23" ht="11.25" customHeight="1" x14ac:dyDescent="0.3">
      <c r="A33" s="74"/>
      <c r="B33" s="74"/>
      <c r="C33" s="74"/>
      <c r="D33" s="74"/>
      <c r="E33" s="74"/>
      <c r="F33" s="74"/>
      <c r="G33" s="13" t="s">
        <v>71</v>
      </c>
      <c r="H33" s="13" t="s">
        <v>69</v>
      </c>
      <c r="I33" s="13">
        <f>SUMIF(Mercado_Receita!$S$2:$S$352,"44440B2BrancaRuralCooperativa de eletrificação ruralNão se aplicaNão se aplicaFora ponta",Mercado_Receita!$L$2:$L$352)</f>
        <v>0</v>
      </c>
      <c r="J33" s="13">
        <f>SUMIF(Mercado_Receita!$S$2:$S$352,"44470B2BrancaRuralCooperativa de eletrificação ruralNão se aplicaNão se aplicaFora ponta",Mercado_Receita!$L$2:$L$352)</f>
        <v>0</v>
      </c>
      <c r="K33" s="13">
        <f>SUMIF(Mercado_Receita!$S$2:$S$352,"44501B2BrancaRuralCooperativa de eletrificação ruralNão se aplicaNão se aplicaFora ponta",Mercado_Receita!$L$2:$L$352)</f>
        <v>0</v>
      </c>
      <c r="L33" s="13">
        <f>SUMIF(Mercado_Receita!$S$2:$S$352,"44531B2BrancaRuralCooperativa de eletrificação ruralNão se aplicaNão se aplicaFora ponta",Mercado_Receita!$L$2:$L$352)</f>
        <v>0</v>
      </c>
      <c r="M33" s="13">
        <f>SUMIF(Mercado_Receita!$S$2:$S$352,"44562B2BrancaRuralCooperativa de eletrificação ruralNão se aplicaNão se aplicaFora ponta",Mercado_Receita!$L$2:$L$352)</f>
        <v>0</v>
      </c>
      <c r="N33" s="13">
        <f>SUMIF(Mercado_Receita!$S$2:$S$352,"44593B2BrancaRuralCooperativa de eletrificação ruralNão se aplicaNão se aplicaFora ponta",Mercado_Receita!$L$2:$L$352)</f>
        <v>0</v>
      </c>
      <c r="O33" s="13">
        <f>SUMIF(Mercado_Receita!$S$2:$S$352,"44621B2BrancaRuralCooperativa de eletrificação ruralNão se aplicaNão se aplicaFora ponta",Mercado_Receita!$L$2:$L$352)</f>
        <v>0</v>
      </c>
      <c r="P33" s="13">
        <f>SUMIF(Mercado_Receita!$S$2:$S$352,"44652B2BrancaRuralCooperativa de eletrificação ruralNão se aplicaNão se aplicaFora ponta",Mercado_Receita!$L$2:$L$352)</f>
        <v>0</v>
      </c>
      <c r="Q33" s="13">
        <f>SUMIF(Mercado_Receita!$S$2:$S$352,"44682B2BrancaRuralCooperativa de eletrificação ruralNão se aplicaNão se aplicaFora ponta",Mercado_Receita!$L$2:$L$352)</f>
        <v>0</v>
      </c>
      <c r="R33" s="13">
        <f>SUMIF(Mercado_Receita!$S$2:$S$352,"44713B2BrancaRuralCooperativa de eletrificação ruralNão se aplicaNão se aplicaFora ponta",Mercado_Receita!$L$2:$L$352)</f>
        <v>0</v>
      </c>
      <c r="S33" s="13">
        <f>SUMIF(Mercado_Receita!$S$2:$S$352,"44743B2BrancaRuralCooperativa de eletrificação ruralNão se aplicaNão se aplicaFora ponta",Mercado_Receita!$L$2:$L$352)</f>
        <v>0</v>
      </c>
      <c r="T33" s="13">
        <f>SUMIF(Mercado_Receita!$S$2:$S$352,"44774B2BrancaRuralCooperativa de eletrificação ruralNão se aplicaNão se aplicaFora ponta",Mercado_Receita!$L$2:$L$352)</f>
        <v>0</v>
      </c>
      <c r="U33" s="13">
        <f t="shared" si="0"/>
        <v>0</v>
      </c>
      <c r="V33" s="13"/>
      <c r="W33" s="13"/>
    </row>
    <row r="34" spans="1:23" ht="11.25" customHeight="1" x14ac:dyDescent="0.3">
      <c r="A34" s="74"/>
      <c r="B34" s="12" t="s">
        <v>23</v>
      </c>
      <c r="C34" s="12" t="s">
        <v>43</v>
      </c>
      <c r="D34" s="12" t="s">
        <v>85</v>
      </c>
      <c r="E34" s="12" t="s">
        <v>25</v>
      </c>
      <c r="F34" s="12" t="s">
        <v>25</v>
      </c>
      <c r="G34" s="13" t="s">
        <v>75</v>
      </c>
      <c r="H34" s="13" t="s">
        <v>69</v>
      </c>
      <c r="I34" s="13">
        <f>SUMIF(Mercado_Receita!$S$2:$S$352,"44440B2ConvencionalRuralCooperativa de eletrificação ruralNão se aplicaNão se aplicaPonta",Mercado_Receita!$L$2:$L$352)+SUMIF(Mercado_Receita!$S$2:$S$352,"44440B2ConvencionalRuralCooperativa de eletrificação ruralNão se aplicaNão se aplicaFora ponta",Mercado_Receita!$L$2:$L$352)+SUMIF(Mercado_Receita!$S$2:$S$352,"44440B2ConvencionalRuralCooperativa de eletrificação ruralNão se aplicaNão se aplicaIntermediário",Mercado_Receita!$L$2:$L$352)+SUMIF(Mercado_Receita!$S$2:$S$352,"44440B2ConvencionalRuralCooperativa de eletrificação ruralNão se aplicaNão se aplicaNão se aplica",Mercado_Receita!$L$2:$L$352)</f>
        <v>0</v>
      </c>
      <c r="J34" s="13">
        <f>SUMIF(Mercado_Receita!$S$2:$S$352,"44470B2ConvencionalRuralCooperativa de eletrificação ruralNão se aplicaNão se aplicaPonta",Mercado_Receita!$L$2:$L$352)+SUMIF(Mercado_Receita!$S$2:$S$352,"44470B2ConvencionalRuralCooperativa de eletrificação ruralNão se aplicaNão se aplicaFora ponta",Mercado_Receita!$L$2:$L$352)+SUMIF(Mercado_Receita!$S$2:$S$352,"44470B2ConvencionalRuralCooperativa de eletrificação ruralNão se aplicaNão se aplicaIntermediário",Mercado_Receita!$L$2:$L$352)+SUMIF(Mercado_Receita!$S$2:$S$352,"44470B2ConvencionalRuralCooperativa de eletrificação ruralNão se aplicaNão se aplicaNão se aplica",Mercado_Receita!$L$2:$L$352)</f>
        <v>0</v>
      </c>
      <c r="K34" s="13">
        <f>SUMIF(Mercado_Receita!$S$2:$S$352,"44501B2ConvencionalRuralCooperativa de eletrificação ruralNão se aplicaNão se aplicaPonta",Mercado_Receita!$L$2:$L$352)+SUMIF(Mercado_Receita!$S$2:$S$352,"44501B2ConvencionalRuralCooperativa de eletrificação ruralNão se aplicaNão se aplicaFora ponta",Mercado_Receita!$L$2:$L$352)+SUMIF(Mercado_Receita!$S$2:$S$352,"44501B2ConvencionalRuralCooperativa de eletrificação ruralNão se aplicaNão se aplicaIntermediário",Mercado_Receita!$L$2:$L$352)+SUMIF(Mercado_Receita!$S$2:$S$352,"44501B2ConvencionalRuralCooperativa de eletrificação ruralNão se aplicaNão se aplicaNão se aplica",Mercado_Receita!$L$2:$L$352)</f>
        <v>0</v>
      </c>
      <c r="L34" s="13">
        <f>SUMIF(Mercado_Receita!$S$2:$S$352,"44531B2ConvencionalRuralCooperativa de eletrificação ruralNão se aplicaNão se aplicaPonta",Mercado_Receita!$L$2:$L$352)+SUMIF(Mercado_Receita!$S$2:$S$352,"44531B2ConvencionalRuralCooperativa de eletrificação ruralNão se aplicaNão se aplicaFora ponta",Mercado_Receita!$L$2:$L$352)+SUMIF(Mercado_Receita!$S$2:$S$352,"44531B2ConvencionalRuralCooperativa de eletrificação ruralNão se aplicaNão se aplicaIntermediário",Mercado_Receita!$L$2:$L$352)+SUMIF(Mercado_Receita!$S$2:$S$352,"44531B2ConvencionalRuralCooperativa de eletrificação ruralNão se aplicaNão se aplicaNão se aplica",Mercado_Receita!$L$2:$L$352)</f>
        <v>0</v>
      </c>
      <c r="M34" s="13">
        <f>SUMIF(Mercado_Receita!$S$2:$S$352,"44562B2ConvencionalRuralCooperativa de eletrificação ruralNão se aplicaNão se aplicaPonta",Mercado_Receita!$L$2:$L$352)+SUMIF(Mercado_Receita!$S$2:$S$352,"44562B2ConvencionalRuralCooperativa de eletrificação ruralNão se aplicaNão se aplicaFora ponta",Mercado_Receita!$L$2:$L$352)+SUMIF(Mercado_Receita!$S$2:$S$352,"44562B2ConvencionalRuralCooperativa de eletrificação ruralNão se aplicaNão se aplicaIntermediário",Mercado_Receita!$L$2:$L$352)+SUMIF(Mercado_Receita!$S$2:$S$352,"44562B2ConvencionalRuralCooperativa de eletrificação ruralNão se aplicaNão se aplicaNão se aplica",Mercado_Receita!$L$2:$L$352)</f>
        <v>0</v>
      </c>
      <c r="N34" s="13">
        <f>SUMIF(Mercado_Receita!$S$2:$S$352,"44593B2ConvencionalRuralCooperativa de eletrificação ruralNão se aplicaNão se aplicaPonta",Mercado_Receita!$L$2:$L$352)+SUMIF(Mercado_Receita!$S$2:$S$352,"44593B2ConvencionalRuralCooperativa de eletrificação ruralNão se aplicaNão se aplicaFora ponta",Mercado_Receita!$L$2:$L$352)+SUMIF(Mercado_Receita!$S$2:$S$352,"44593B2ConvencionalRuralCooperativa de eletrificação ruralNão se aplicaNão se aplicaIntermediário",Mercado_Receita!$L$2:$L$352)+SUMIF(Mercado_Receita!$S$2:$S$352,"44593B2ConvencionalRuralCooperativa de eletrificação ruralNão se aplicaNão se aplicaNão se aplica",Mercado_Receita!$L$2:$L$352)</f>
        <v>0</v>
      </c>
      <c r="O34" s="13">
        <f>SUMIF(Mercado_Receita!$S$2:$S$352,"44621B2ConvencionalRuralCooperativa de eletrificação ruralNão se aplicaNão se aplicaPonta",Mercado_Receita!$L$2:$L$352)+SUMIF(Mercado_Receita!$S$2:$S$352,"44621B2ConvencionalRuralCooperativa de eletrificação ruralNão se aplicaNão se aplicaFora ponta",Mercado_Receita!$L$2:$L$352)+SUMIF(Mercado_Receita!$S$2:$S$352,"44621B2ConvencionalRuralCooperativa de eletrificação ruralNão se aplicaNão se aplicaIntermediário",Mercado_Receita!$L$2:$L$352)+SUMIF(Mercado_Receita!$S$2:$S$352,"44621B2ConvencionalRuralCooperativa de eletrificação ruralNão se aplicaNão se aplicaNão se aplica",Mercado_Receita!$L$2:$L$352)</f>
        <v>0</v>
      </c>
      <c r="P34" s="13">
        <f>SUMIF(Mercado_Receita!$S$2:$S$352,"44652B2ConvencionalRuralCooperativa de eletrificação ruralNão se aplicaNão se aplicaPonta",Mercado_Receita!$L$2:$L$352)+SUMIF(Mercado_Receita!$S$2:$S$352,"44652B2ConvencionalRuralCooperativa de eletrificação ruralNão se aplicaNão se aplicaFora ponta",Mercado_Receita!$L$2:$L$352)+SUMIF(Mercado_Receita!$S$2:$S$352,"44652B2ConvencionalRuralCooperativa de eletrificação ruralNão se aplicaNão se aplicaIntermediário",Mercado_Receita!$L$2:$L$352)+SUMIF(Mercado_Receita!$S$2:$S$352,"44652B2ConvencionalRuralCooperativa de eletrificação ruralNão se aplicaNão se aplicaNão se aplica",Mercado_Receita!$L$2:$L$352)</f>
        <v>0</v>
      </c>
      <c r="Q34" s="13">
        <f>SUMIF(Mercado_Receita!$S$2:$S$352,"44682B2ConvencionalRuralCooperativa de eletrificação ruralNão se aplicaNão se aplicaPonta",Mercado_Receita!$L$2:$L$352)+SUMIF(Mercado_Receita!$S$2:$S$352,"44682B2ConvencionalRuralCooperativa de eletrificação ruralNão se aplicaNão se aplicaFora ponta",Mercado_Receita!$L$2:$L$352)+SUMIF(Mercado_Receita!$S$2:$S$352,"44682B2ConvencionalRuralCooperativa de eletrificação ruralNão se aplicaNão se aplicaIntermediário",Mercado_Receita!$L$2:$L$352)+SUMIF(Mercado_Receita!$S$2:$S$352,"44682B2ConvencionalRuralCooperativa de eletrificação ruralNão se aplicaNão se aplicaNão se aplica",Mercado_Receita!$L$2:$L$352)</f>
        <v>0</v>
      </c>
      <c r="R34" s="13">
        <f>SUMIF(Mercado_Receita!$S$2:$S$352,"44713B2ConvencionalRuralCooperativa de eletrificação ruralNão se aplicaNão se aplicaPonta",Mercado_Receita!$L$2:$L$352)+SUMIF(Mercado_Receita!$S$2:$S$352,"44713B2ConvencionalRuralCooperativa de eletrificação ruralNão se aplicaNão se aplicaFora ponta",Mercado_Receita!$L$2:$L$352)+SUMIF(Mercado_Receita!$S$2:$S$352,"44713B2ConvencionalRuralCooperativa de eletrificação ruralNão se aplicaNão se aplicaIntermediário",Mercado_Receita!$L$2:$L$352)+SUMIF(Mercado_Receita!$S$2:$S$352,"44713B2ConvencionalRuralCooperativa de eletrificação ruralNão se aplicaNão se aplicaNão se aplica",Mercado_Receita!$L$2:$L$352)</f>
        <v>0</v>
      </c>
      <c r="S34" s="13">
        <f>SUMIF(Mercado_Receita!$S$2:$S$352,"44743B2ConvencionalRuralCooperativa de eletrificação ruralNão se aplicaNão se aplicaPonta",Mercado_Receita!$L$2:$L$352)+SUMIF(Mercado_Receita!$S$2:$S$352,"44743B2ConvencionalRuralCooperativa de eletrificação ruralNão se aplicaNão se aplicaFora ponta",Mercado_Receita!$L$2:$L$352)+SUMIF(Mercado_Receita!$S$2:$S$352,"44743B2ConvencionalRuralCooperativa de eletrificação ruralNão se aplicaNão se aplicaIntermediário",Mercado_Receita!$L$2:$L$352)+SUMIF(Mercado_Receita!$S$2:$S$352,"44743B2ConvencionalRuralCooperativa de eletrificação ruralNão se aplicaNão se aplicaNão se aplica",Mercado_Receita!$L$2:$L$352)</f>
        <v>0</v>
      </c>
      <c r="T34" s="13">
        <f>SUMIF(Mercado_Receita!$S$2:$S$352,"44774B2ConvencionalRuralCooperativa de eletrificação ruralNão se aplicaNão se aplicaPonta",Mercado_Receita!$L$2:$L$352)+SUMIF(Mercado_Receita!$S$2:$S$352,"44774B2ConvencionalRuralCooperativa de eletrificação ruralNão se aplicaNão se aplicaFora ponta",Mercado_Receita!$L$2:$L$352)+SUMIF(Mercado_Receita!$S$2:$S$352,"44774B2ConvencionalRuralCooperativa de eletrificação ruralNão se aplicaNão se aplicaIntermediário",Mercado_Receita!$L$2:$L$352)+SUMIF(Mercado_Receita!$S$2:$S$352,"44774B2ConvencionalRuralCooperativa de eletrificação ruralNão se aplicaNão se aplicaNão se aplica",Mercado_Receita!$L$2:$L$352)</f>
        <v>0</v>
      </c>
      <c r="U34" s="13">
        <f t="shared" si="0"/>
        <v>0</v>
      </c>
      <c r="V34" s="13"/>
      <c r="W34" s="13"/>
    </row>
    <row r="35" spans="1:23" ht="11.25" customHeight="1" x14ac:dyDescent="0.3">
      <c r="A35" s="74"/>
      <c r="B35" s="73" t="s">
        <v>39</v>
      </c>
      <c r="C35" s="73" t="s">
        <v>43</v>
      </c>
      <c r="D35" s="73" t="s">
        <v>86</v>
      </c>
      <c r="E35" s="73" t="s">
        <v>25</v>
      </c>
      <c r="F35" s="73" t="s">
        <v>25</v>
      </c>
      <c r="G35" s="13" t="s">
        <v>70</v>
      </c>
      <c r="H35" s="13" t="s">
        <v>69</v>
      </c>
      <c r="I35" s="13">
        <f>SUMIF(Mercado_Receita!$S$2:$S$352,"44440B2BrancaRuralServiço público de irrigação ruralNão se aplicaNão se aplicaPonta",Mercado_Receita!$L$2:$L$352)</f>
        <v>0</v>
      </c>
      <c r="J35" s="13">
        <f>SUMIF(Mercado_Receita!$S$2:$S$352,"44470B2BrancaRuralServiço público de irrigação ruralNão se aplicaNão se aplicaPonta",Mercado_Receita!$L$2:$L$352)</f>
        <v>0</v>
      </c>
      <c r="K35" s="13">
        <f>SUMIF(Mercado_Receita!$S$2:$S$352,"44501B2BrancaRuralServiço público de irrigação ruralNão se aplicaNão se aplicaPonta",Mercado_Receita!$L$2:$L$352)</f>
        <v>0</v>
      </c>
      <c r="L35" s="13">
        <f>SUMIF(Mercado_Receita!$S$2:$S$352,"44531B2BrancaRuralServiço público de irrigação ruralNão se aplicaNão se aplicaPonta",Mercado_Receita!$L$2:$L$352)</f>
        <v>0</v>
      </c>
      <c r="M35" s="13">
        <f>SUMIF(Mercado_Receita!$S$2:$S$352,"44562B2BrancaRuralServiço público de irrigação ruralNão se aplicaNão se aplicaPonta",Mercado_Receita!$L$2:$L$352)</f>
        <v>0</v>
      </c>
      <c r="N35" s="13">
        <f>SUMIF(Mercado_Receita!$S$2:$S$352,"44593B2BrancaRuralServiço público de irrigação ruralNão se aplicaNão se aplicaPonta",Mercado_Receita!$L$2:$L$352)</f>
        <v>0</v>
      </c>
      <c r="O35" s="13">
        <f>SUMIF(Mercado_Receita!$S$2:$S$352,"44621B2BrancaRuralServiço público de irrigação ruralNão se aplicaNão se aplicaPonta",Mercado_Receita!$L$2:$L$352)</f>
        <v>0</v>
      </c>
      <c r="P35" s="13">
        <f>SUMIF(Mercado_Receita!$S$2:$S$352,"44652B2BrancaRuralServiço público de irrigação ruralNão se aplicaNão se aplicaPonta",Mercado_Receita!$L$2:$L$352)</f>
        <v>0</v>
      </c>
      <c r="Q35" s="13">
        <f>SUMIF(Mercado_Receita!$S$2:$S$352,"44682B2BrancaRuralServiço público de irrigação ruralNão se aplicaNão se aplicaPonta",Mercado_Receita!$L$2:$L$352)</f>
        <v>0</v>
      </c>
      <c r="R35" s="13">
        <f>SUMIF(Mercado_Receita!$S$2:$S$352,"44713B2BrancaRuralServiço público de irrigação ruralNão se aplicaNão se aplicaPonta",Mercado_Receita!$L$2:$L$352)</f>
        <v>0</v>
      </c>
      <c r="S35" s="13">
        <f>SUMIF(Mercado_Receita!$S$2:$S$352,"44743B2BrancaRuralServiço público de irrigação ruralNão se aplicaNão se aplicaPonta",Mercado_Receita!$L$2:$L$352)</f>
        <v>0</v>
      </c>
      <c r="T35" s="13">
        <f>SUMIF(Mercado_Receita!$S$2:$S$352,"44774B2BrancaRuralServiço público de irrigação ruralNão se aplicaNão se aplicaPonta",Mercado_Receita!$L$2:$L$352)</f>
        <v>0</v>
      </c>
      <c r="U35" s="13">
        <f t="shared" si="0"/>
        <v>0</v>
      </c>
      <c r="V35" s="13"/>
      <c r="W35" s="13"/>
    </row>
    <row r="36" spans="1:23" ht="11.25" customHeight="1" x14ac:dyDescent="0.3">
      <c r="A36" s="74"/>
      <c r="B36" s="74"/>
      <c r="C36" s="74"/>
      <c r="D36" s="74"/>
      <c r="E36" s="74"/>
      <c r="F36" s="74"/>
      <c r="G36" s="13" t="s">
        <v>81</v>
      </c>
      <c r="H36" s="13" t="s">
        <v>69</v>
      </c>
      <c r="I36" s="13">
        <f>SUMIF(Mercado_Receita!$S$2:$S$352,"44440B2BrancaRuralServiço público de irrigação ruralNão se aplicaNão se aplicaIntermediário",Mercado_Receita!$L$2:$L$352)</f>
        <v>0</v>
      </c>
      <c r="J36" s="13">
        <f>SUMIF(Mercado_Receita!$S$2:$S$352,"44470B2BrancaRuralServiço público de irrigação ruralNão se aplicaNão se aplicaIntermediário",Mercado_Receita!$L$2:$L$352)</f>
        <v>0</v>
      </c>
      <c r="K36" s="13">
        <f>SUMIF(Mercado_Receita!$S$2:$S$352,"44501B2BrancaRuralServiço público de irrigação ruralNão se aplicaNão se aplicaIntermediário",Mercado_Receita!$L$2:$L$352)</f>
        <v>0</v>
      </c>
      <c r="L36" s="13">
        <f>SUMIF(Mercado_Receita!$S$2:$S$352,"44531B2BrancaRuralServiço público de irrigação ruralNão se aplicaNão se aplicaIntermediário",Mercado_Receita!$L$2:$L$352)</f>
        <v>0</v>
      </c>
      <c r="M36" s="13">
        <f>SUMIF(Mercado_Receita!$S$2:$S$352,"44562B2BrancaRuralServiço público de irrigação ruralNão se aplicaNão se aplicaIntermediário",Mercado_Receita!$L$2:$L$352)</f>
        <v>0</v>
      </c>
      <c r="N36" s="13">
        <f>SUMIF(Mercado_Receita!$S$2:$S$352,"44593B2BrancaRuralServiço público de irrigação ruralNão se aplicaNão se aplicaIntermediário",Mercado_Receita!$L$2:$L$352)</f>
        <v>0</v>
      </c>
      <c r="O36" s="13">
        <f>SUMIF(Mercado_Receita!$S$2:$S$352,"44621B2BrancaRuralServiço público de irrigação ruralNão se aplicaNão se aplicaIntermediário",Mercado_Receita!$L$2:$L$352)</f>
        <v>0</v>
      </c>
      <c r="P36" s="13">
        <f>SUMIF(Mercado_Receita!$S$2:$S$352,"44652B2BrancaRuralServiço público de irrigação ruralNão se aplicaNão se aplicaIntermediário",Mercado_Receita!$L$2:$L$352)</f>
        <v>0</v>
      </c>
      <c r="Q36" s="13">
        <f>SUMIF(Mercado_Receita!$S$2:$S$352,"44682B2BrancaRuralServiço público de irrigação ruralNão se aplicaNão se aplicaIntermediário",Mercado_Receita!$L$2:$L$352)</f>
        <v>0</v>
      </c>
      <c r="R36" s="13">
        <f>SUMIF(Mercado_Receita!$S$2:$S$352,"44713B2BrancaRuralServiço público de irrigação ruralNão se aplicaNão se aplicaIntermediário",Mercado_Receita!$L$2:$L$352)</f>
        <v>0</v>
      </c>
      <c r="S36" s="13">
        <f>SUMIF(Mercado_Receita!$S$2:$S$352,"44743B2BrancaRuralServiço público de irrigação ruralNão se aplicaNão se aplicaIntermediário",Mercado_Receita!$L$2:$L$352)</f>
        <v>0</v>
      </c>
      <c r="T36" s="13">
        <f>SUMIF(Mercado_Receita!$S$2:$S$352,"44774B2BrancaRuralServiço público de irrigação ruralNão se aplicaNão se aplicaIntermediário",Mercado_Receita!$L$2:$L$352)</f>
        <v>0</v>
      </c>
      <c r="U36" s="13">
        <f t="shared" si="0"/>
        <v>0</v>
      </c>
      <c r="V36" s="13"/>
      <c r="W36" s="13"/>
    </row>
    <row r="37" spans="1:23" ht="11.25" customHeight="1" x14ac:dyDescent="0.3">
      <c r="A37" s="74"/>
      <c r="B37" s="74"/>
      <c r="C37" s="74"/>
      <c r="D37" s="74"/>
      <c r="E37" s="74"/>
      <c r="F37" s="74"/>
      <c r="G37" s="13" t="s">
        <v>71</v>
      </c>
      <c r="H37" s="13" t="s">
        <v>69</v>
      </c>
      <c r="I37" s="13">
        <f>SUMIF(Mercado_Receita!$S$2:$S$352,"44440B2BrancaRuralServiço público de irrigação ruralNão se aplicaNão se aplicaFora ponta",Mercado_Receita!$L$2:$L$352)</f>
        <v>0</v>
      </c>
      <c r="J37" s="13">
        <f>SUMIF(Mercado_Receita!$S$2:$S$352,"44470B2BrancaRuralServiço público de irrigação ruralNão se aplicaNão se aplicaFora ponta",Mercado_Receita!$L$2:$L$352)</f>
        <v>0</v>
      </c>
      <c r="K37" s="13">
        <f>SUMIF(Mercado_Receita!$S$2:$S$352,"44501B2BrancaRuralServiço público de irrigação ruralNão se aplicaNão se aplicaFora ponta",Mercado_Receita!$L$2:$L$352)</f>
        <v>0</v>
      </c>
      <c r="L37" s="13">
        <f>SUMIF(Mercado_Receita!$S$2:$S$352,"44531B2BrancaRuralServiço público de irrigação ruralNão se aplicaNão se aplicaFora ponta",Mercado_Receita!$L$2:$L$352)</f>
        <v>0</v>
      </c>
      <c r="M37" s="13">
        <f>SUMIF(Mercado_Receita!$S$2:$S$352,"44562B2BrancaRuralServiço público de irrigação ruralNão se aplicaNão se aplicaFora ponta",Mercado_Receita!$L$2:$L$352)</f>
        <v>0</v>
      </c>
      <c r="N37" s="13">
        <f>SUMIF(Mercado_Receita!$S$2:$S$352,"44593B2BrancaRuralServiço público de irrigação ruralNão se aplicaNão se aplicaFora ponta",Mercado_Receita!$L$2:$L$352)</f>
        <v>0</v>
      </c>
      <c r="O37" s="13">
        <f>SUMIF(Mercado_Receita!$S$2:$S$352,"44621B2BrancaRuralServiço público de irrigação ruralNão se aplicaNão se aplicaFora ponta",Mercado_Receita!$L$2:$L$352)</f>
        <v>0</v>
      </c>
      <c r="P37" s="13">
        <f>SUMIF(Mercado_Receita!$S$2:$S$352,"44652B2BrancaRuralServiço público de irrigação ruralNão se aplicaNão se aplicaFora ponta",Mercado_Receita!$L$2:$L$352)</f>
        <v>0</v>
      </c>
      <c r="Q37" s="13">
        <f>SUMIF(Mercado_Receita!$S$2:$S$352,"44682B2BrancaRuralServiço público de irrigação ruralNão se aplicaNão se aplicaFora ponta",Mercado_Receita!$L$2:$L$352)</f>
        <v>0</v>
      </c>
      <c r="R37" s="13">
        <f>SUMIF(Mercado_Receita!$S$2:$S$352,"44713B2BrancaRuralServiço público de irrigação ruralNão se aplicaNão se aplicaFora ponta",Mercado_Receita!$L$2:$L$352)</f>
        <v>0</v>
      </c>
      <c r="S37" s="13">
        <f>SUMIF(Mercado_Receita!$S$2:$S$352,"44743B2BrancaRuralServiço público de irrigação ruralNão se aplicaNão se aplicaFora ponta",Mercado_Receita!$L$2:$L$352)</f>
        <v>0</v>
      </c>
      <c r="T37" s="13">
        <f>SUMIF(Mercado_Receita!$S$2:$S$352,"44774B2BrancaRuralServiço público de irrigação ruralNão se aplicaNão se aplicaFora ponta",Mercado_Receita!$L$2:$L$352)</f>
        <v>0</v>
      </c>
      <c r="U37" s="13">
        <f t="shared" si="0"/>
        <v>0</v>
      </c>
      <c r="V37" s="13"/>
      <c r="W37" s="13"/>
    </row>
    <row r="38" spans="1:23" ht="11.25" customHeight="1" x14ac:dyDescent="0.3">
      <c r="A38" s="74"/>
      <c r="B38" s="12" t="s">
        <v>23</v>
      </c>
      <c r="C38" s="12" t="s">
        <v>43</v>
      </c>
      <c r="D38" s="12" t="s">
        <v>86</v>
      </c>
      <c r="E38" s="12" t="s">
        <v>25</v>
      </c>
      <c r="F38" s="12" t="s">
        <v>25</v>
      </c>
      <c r="G38" s="13" t="s">
        <v>75</v>
      </c>
      <c r="H38" s="13" t="s">
        <v>69</v>
      </c>
      <c r="I38" s="13">
        <f>SUMIF(Mercado_Receita!$S$2:$S$352,"44440B2ConvencionalRuralServiço público de irrigação ruralNão se aplicaNão se aplicaPonta",Mercado_Receita!$L$2:$L$352)+SUMIF(Mercado_Receita!$S$2:$S$352,"44440B2ConvencionalRuralServiço público de irrigação ruralNão se aplicaNão se aplicaFora ponta",Mercado_Receita!$L$2:$L$352)+SUMIF(Mercado_Receita!$S$2:$S$352,"44440B2ConvencionalRuralServiço público de irrigação ruralNão se aplicaNão se aplicaIntermediário",Mercado_Receita!$L$2:$L$352)+SUMIF(Mercado_Receita!$S$2:$S$352,"44440B2ConvencionalRuralServiço público de irrigação ruralNão se aplicaNão se aplicaNão se aplica",Mercado_Receita!$L$2:$L$352)</f>
        <v>0</v>
      </c>
      <c r="J38" s="13">
        <f>SUMIF(Mercado_Receita!$S$2:$S$352,"44470B2ConvencionalRuralServiço público de irrigação ruralNão se aplicaNão se aplicaPonta",Mercado_Receita!$L$2:$L$352)+SUMIF(Mercado_Receita!$S$2:$S$352,"44470B2ConvencionalRuralServiço público de irrigação ruralNão se aplicaNão se aplicaFora ponta",Mercado_Receita!$L$2:$L$352)+SUMIF(Mercado_Receita!$S$2:$S$352,"44470B2ConvencionalRuralServiço público de irrigação ruralNão se aplicaNão se aplicaIntermediário",Mercado_Receita!$L$2:$L$352)+SUMIF(Mercado_Receita!$S$2:$S$352,"44470B2ConvencionalRuralServiço público de irrigação ruralNão se aplicaNão se aplicaNão se aplica",Mercado_Receita!$L$2:$L$352)</f>
        <v>0</v>
      </c>
      <c r="K38" s="13">
        <f>SUMIF(Mercado_Receita!$S$2:$S$352,"44501B2ConvencionalRuralServiço público de irrigação ruralNão se aplicaNão se aplicaPonta",Mercado_Receita!$L$2:$L$352)+SUMIF(Mercado_Receita!$S$2:$S$352,"44501B2ConvencionalRuralServiço público de irrigação ruralNão se aplicaNão se aplicaFora ponta",Mercado_Receita!$L$2:$L$352)+SUMIF(Mercado_Receita!$S$2:$S$352,"44501B2ConvencionalRuralServiço público de irrigação ruralNão se aplicaNão se aplicaIntermediário",Mercado_Receita!$L$2:$L$352)+SUMIF(Mercado_Receita!$S$2:$S$352,"44501B2ConvencionalRuralServiço público de irrigação ruralNão se aplicaNão se aplicaNão se aplica",Mercado_Receita!$L$2:$L$352)</f>
        <v>0</v>
      </c>
      <c r="L38" s="13">
        <f>SUMIF(Mercado_Receita!$S$2:$S$352,"44531B2ConvencionalRuralServiço público de irrigação ruralNão se aplicaNão se aplicaPonta",Mercado_Receita!$L$2:$L$352)+SUMIF(Mercado_Receita!$S$2:$S$352,"44531B2ConvencionalRuralServiço público de irrigação ruralNão se aplicaNão se aplicaFora ponta",Mercado_Receita!$L$2:$L$352)+SUMIF(Mercado_Receita!$S$2:$S$352,"44531B2ConvencionalRuralServiço público de irrigação ruralNão se aplicaNão se aplicaIntermediário",Mercado_Receita!$L$2:$L$352)+SUMIF(Mercado_Receita!$S$2:$S$352,"44531B2ConvencionalRuralServiço público de irrigação ruralNão se aplicaNão se aplicaNão se aplica",Mercado_Receita!$L$2:$L$352)</f>
        <v>0</v>
      </c>
      <c r="M38" s="13">
        <f>SUMIF(Mercado_Receita!$S$2:$S$352,"44562B2ConvencionalRuralServiço público de irrigação ruralNão se aplicaNão se aplicaPonta",Mercado_Receita!$L$2:$L$352)+SUMIF(Mercado_Receita!$S$2:$S$352,"44562B2ConvencionalRuralServiço público de irrigação ruralNão se aplicaNão se aplicaFora ponta",Mercado_Receita!$L$2:$L$352)+SUMIF(Mercado_Receita!$S$2:$S$352,"44562B2ConvencionalRuralServiço público de irrigação ruralNão se aplicaNão se aplicaIntermediário",Mercado_Receita!$L$2:$L$352)+SUMIF(Mercado_Receita!$S$2:$S$352,"44562B2ConvencionalRuralServiço público de irrigação ruralNão se aplicaNão se aplicaNão se aplica",Mercado_Receita!$L$2:$L$352)</f>
        <v>0</v>
      </c>
      <c r="N38" s="13">
        <f>SUMIF(Mercado_Receita!$S$2:$S$352,"44593B2ConvencionalRuralServiço público de irrigação ruralNão se aplicaNão se aplicaPonta",Mercado_Receita!$L$2:$L$352)+SUMIF(Mercado_Receita!$S$2:$S$352,"44593B2ConvencionalRuralServiço público de irrigação ruralNão se aplicaNão se aplicaFora ponta",Mercado_Receita!$L$2:$L$352)+SUMIF(Mercado_Receita!$S$2:$S$352,"44593B2ConvencionalRuralServiço público de irrigação ruralNão se aplicaNão se aplicaIntermediário",Mercado_Receita!$L$2:$L$352)+SUMIF(Mercado_Receita!$S$2:$S$352,"44593B2ConvencionalRuralServiço público de irrigação ruralNão se aplicaNão se aplicaNão se aplica",Mercado_Receita!$L$2:$L$352)</f>
        <v>0</v>
      </c>
      <c r="O38" s="13">
        <f>SUMIF(Mercado_Receita!$S$2:$S$352,"44621B2ConvencionalRuralServiço público de irrigação ruralNão se aplicaNão se aplicaPonta",Mercado_Receita!$L$2:$L$352)+SUMIF(Mercado_Receita!$S$2:$S$352,"44621B2ConvencionalRuralServiço público de irrigação ruralNão se aplicaNão se aplicaFora ponta",Mercado_Receita!$L$2:$L$352)+SUMIF(Mercado_Receita!$S$2:$S$352,"44621B2ConvencionalRuralServiço público de irrigação ruralNão se aplicaNão se aplicaIntermediário",Mercado_Receita!$L$2:$L$352)+SUMIF(Mercado_Receita!$S$2:$S$352,"44621B2ConvencionalRuralServiço público de irrigação ruralNão se aplicaNão se aplicaNão se aplica",Mercado_Receita!$L$2:$L$352)</f>
        <v>0</v>
      </c>
      <c r="P38" s="13">
        <f>SUMIF(Mercado_Receita!$S$2:$S$352,"44652B2ConvencionalRuralServiço público de irrigação ruralNão se aplicaNão se aplicaPonta",Mercado_Receita!$L$2:$L$352)+SUMIF(Mercado_Receita!$S$2:$S$352,"44652B2ConvencionalRuralServiço público de irrigação ruralNão se aplicaNão se aplicaFora ponta",Mercado_Receita!$L$2:$L$352)+SUMIF(Mercado_Receita!$S$2:$S$352,"44652B2ConvencionalRuralServiço público de irrigação ruralNão se aplicaNão se aplicaIntermediário",Mercado_Receita!$L$2:$L$352)+SUMIF(Mercado_Receita!$S$2:$S$352,"44652B2ConvencionalRuralServiço público de irrigação ruralNão se aplicaNão se aplicaNão se aplica",Mercado_Receita!$L$2:$L$352)</f>
        <v>0</v>
      </c>
      <c r="Q38" s="13">
        <f>SUMIF(Mercado_Receita!$S$2:$S$352,"44682B2ConvencionalRuralServiço público de irrigação ruralNão se aplicaNão se aplicaPonta",Mercado_Receita!$L$2:$L$352)+SUMIF(Mercado_Receita!$S$2:$S$352,"44682B2ConvencionalRuralServiço público de irrigação ruralNão se aplicaNão se aplicaFora ponta",Mercado_Receita!$L$2:$L$352)+SUMIF(Mercado_Receita!$S$2:$S$352,"44682B2ConvencionalRuralServiço público de irrigação ruralNão se aplicaNão se aplicaIntermediário",Mercado_Receita!$L$2:$L$352)+SUMIF(Mercado_Receita!$S$2:$S$352,"44682B2ConvencionalRuralServiço público de irrigação ruralNão se aplicaNão se aplicaNão se aplica",Mercado_Receita!$L$2:$L$352)</f>
        <v>0</v>
      </c>
      <c r="R38" s="13">
        <f>SUMIF(Mercado_Receita!$S$2:$S$352,"44713B2ConvencionalRuralServiço público de irrigação ruralNão se aplicaNão se aplicaPonta",Mercado_Receita!$L$2:$L$352)+SUMIF(Mercado_Receita!$S$2:$S$352,"44713B2ConvencionalRuralServiço público de irrigação ruralNão se aplicaNão se aplicaFora ponta",Mercado_Receita!$L$2:$L$352)+SUMIF(Mercado_Receita!$S$2:$S$352,"44713B2ConvencionalRuralServiço público de irrigação ruralNão se aplicaNão se aplicaIntermediário",Mercado_Receita!$L$2:$L$352)+SUMIF(Mercado_Receita!$S$2:$S$352,"44713B2ConvencionalRuralServiço público de irrigação ruralNão se aplicaNão se aplicaNão se aplica",Mercado_Receita!$L$2:$L$352)</f>
        <v>0</v>
      </c>
      <c r="S38" s="13">
        <f>SUMIF(Mercado_Receita!$S$2:$S$352,"44743B2ConvencionalRuralServiço público de irrigação ruralNão se aplicaNão se aplicaPonta",Mercado_Receita!$L$2:$L$352)+SUMIF(Mercado_Receita!$S$2:$S$352,"44743B2ConvencionalRuralServiço público de irrigação ruralNão se aplicaNão se aplicaFora ponta",Mercado_Receita!$L$2:$L$352)+SUMIF(Mercado_Receita!$S$2:$S$352,"44743B2ConvencionalRuralServiço público de irrigação ruralNão se aplicaNão se aplicaIntermediário",Mercado_Receita!$L$2:$L$352)+SUMIF(Mercado_Receita!$S$2:$S$352,"44743B2ConvencionalRuralServiço público de irrigação ruralNão se aplicaNão se aplicaNão se aplica",Mercado_Receita!$L$2:$L$352)</f>
        <v>0</v>
      </c>
      <c r="T38" s="13">
        <f>SUMIF(Mercado_Receita!$S$2:$S$352,"44774B2ConvencionalRuralServiço público de irrigação ruralNão se aplicaNão se aplicaPonta",Mercado_Receita!$L$2:$L$352)+SUMIF(Mercado_Receita!$S$2:$S$352,"44774B2ConvencionalRuralServiço público de irrigação ruralNão se aplicaNão se aplicaFora ponta",Mercado_Receita!$L$2:$L$352)+SUMIF(Mercado_Receita!$S$2:$S$352,"44774B2ConvencionalRuralServiço público de irrigação ruralNão se aplicaNão se aplicaIntermediário",Mercado_Receita!$L$2:$L$352)+SUMIF(Mercado_Receita!$S$2:$S$352,"44774B2ConvencionalRuralServiço público de irrigação ruralNão se aplicaNão se aplicaNão se aplica",Mercado_Receita!$L$2:$L$352)</f>
        <v>0</v>
      </c>
      <c r="U38" s="13">
        <f t="shared" si="0"/>
        <v>0</v>
      </c>
      <c r="V38" s="13"/>
      <c r="W38" s="13"/>
    </row>
    <row r="39" spans="1:23" ht="11.25" customHeight="1" x14ac:dyDescent="0.3">
      <c r="A39" s="74"/>
      <c r="B39" s="73" t="s">
        <v>84</v>
      </c>
      <c r="C39" s="73" t="s">
        <v>43</v>
      </c>
      <c r="D39" s="12" t="s">
        <v>25</v>
      </c>
      <c r="E39" s="12" t="s">
        <v>25</v>
      </c>
      <c r="F39" s="12" t="s">
        <v>25</v>
      </c>
      <c r="G39" s="13" t="s">
        <v>75</v>
      </c>
      <c r="H39" s="13" t="s">
        <v>69</v>
      </c>
      <c r="I39" s="13">
        <f>SUMIF(Mercado_Receita!$S$2:$S$352,"44440B2Convencional pré-pagamentoRuralNão se aplicaNão se aplicaNão se aplicaPonta",Mercado_Receita!$L$2:$L$352)+SUMIF(Mercado_Receita!$S$2:$S$352,"44440B2Convencional pré-pagamentoRuralNão se aplicaNão se aplicaNão se aplicaFora ponta",Mercado_Receita!$L$2:$L$352)+SUMIF(Mercado_Receita!$S$2:$S$352,"44440B2Convencional pré-pagamentoRuralNão se aplicaNão se aplicaNão se aplicaIntermediário",Mercado_Receita!$L$2:$L$352)+SUMIF(Mercado_Receita!$S$2:$S$352,"44440B2Convencional pré-pagamentoRuralNão se aplicaNão se aplicaNão se aplicaNão se aplica",Mercado_Receita!$L$2:$L$352)</f>
        <v>0</v>
      </c>
      <c r="J39" s="13">
        <f>SUMIF(Mercado_Receita!$S$2:$S$352,"44470B2Convencional pré-pagamentoRuralNão se aplicaNão se aplicaNão se aplicaPonta",Mercado_Receita!$L$2:$L$352)+SUMIF(Mercado_Receita!$S$2:$S$352,"44470B2Convencional pré-pagamentoRuralNão se aplicaNão se aplicaNão se aplicaFora ponta",Mercado_Receita!$L$2:$L$352)+SUMIF(Mercado_Receita!$S$2:$S$352,"44470B2Convencional pré-pagamentoRuralNão se aplicaNão se aplicaNão se aplicaIntermediário",Mercado_Receita!$L$2:$L$352)+SUMIF(Mercado_Receita!$S$2:$S$352,"44470B2Convencional pré-pagamentoRuralNão se aplicaNão se aplicaNão se aplicaNão se aplica",Mercado_Receita!$L$2:$L$352)</f>
        <v>0</v>
      </c>
      <c r="K39" s="13">
        <f>SUMIF(Mercado_Receita!$S$2:$S$352,"44501B2Convencional pré-pagamentoRuralNão se aplicaNão se aplicaNão se aplicaPonta",Mercado_Receita!$L$2:$L$352)+SUMIF(Mercado_Receita!$S$2:$S$352,"44501B2Convencional pré-pagamentoRuralNão se aplicaNão se aplicaNão se aplicaFora ponta",Mercado_Receita!$L$2:$L$352)+SUMIF(Mercado_Receita!$S$2:$S$352,"44501B2Convencional pré-pagamentoRuralNão se aplicaNão se aplicaNão se aplicaIntermediário",Mercado_Receita!$L$2:$L$352)+SUMIF(Mercado_Receita!$S$2:$S$352,"44501B2Convencional pré-pagamentoRuralNão se aplicaNão se aplicaNão se aplicaNão se aplica",Mercado_Receita!$L$2:$L$352)</f>
        <v>0</v>
      </c>
      <c r="L39" s="13">
        <f>SUMIF(Mercado_Receita!$S$2:$S$352,"44531B2Convencional pré-pagamentoRuralNão se aplicaNão se aplicaNão se aplicaPonta",Mercado_Receita!$L$2:$L$352)+SUMIF(Mercado_Receita!$S$2:$S$352,"44531B2Convencional pré-pagamentoRuralNão se aplicaNão se aplicaNão se aplicaFora ponta",Mercado_Receita!$L$2:$L$352)+SUMIF(Mercado_Receita!$S$2:$S$352,"44531B2Convencional pré-pagamentoRuralNão se aplicaNão se aplicaNão se aplicaIntermediário",Mercado_Receita!$L$2:$L$352)+SUMIF(Mercado_Receita!$S$2:$S$352,"44531B2Convencional pré-pagamentoRuralNão se aplicaNão se aplicaNão se aplicaNão se aplica",Mercado_Receita!$L$2:$L$352)</f>
        <v>0</v>
      </c>
      <c r="M39" s="13">
        <f>SUMIF(Mercado_Receita!$S$2:$S$352,"44562B2Convencional pré-pagamentoRuralNão se aplicaNão se aplicaNão se aplicaPonta",Mercado_Receita!$L$2:$L$352)+SUMIF(Mercado_Receita!$S$2:$S$352,"44562B2Convencional pré-pagamentoRuralNão se aplicaNão se aplicaNão se aplicaFora ponta",Mercado_Receita!$L$2:$L$352)+SUMIF(Mercado_Receita!$S$2:$S$352,"44562B2Convencional pré-pagamentoRuralNão se aplicaNão se aplicaNão se aplicaIntermediário",Mercado_Receita!$L$2:$L$352)+SUMIF(Mercado_Receita!$S$2:$S$352,"44562B2Convencional pré-pagamentoRuralNão se aplicaNão se aplicaNão se aplicaNão se aplica",Mercado_Receita!$L$2:$L$352)</f>
        <v>0</v>
      </c>
      <c r="N39" s="13">
        <f>SUMIF(Mercado_Receita!$S$2:$S$352,"44593B2Convencional pré-pagamentoRuralNão se aplicaNão se aplicaNão se aplicaPonta",Mercado_Receita!$L$2:$L$352)+SUMIF(Mercado_Receita!$S$2:$S$352,"44593B2Convencional pré-pagamentoRuralNão se aplicaNão se aplicaNão se aplicaFora ponta",Mercado_Receita!$L$2:$L$352)+SUMIF(Mercado_Receita!$S$2:$S$352,"44593B2Convencional pré-pagamentoRuralNão se aplicaNão se aplicaNão se aplicaIntermediário",Mercado_Receita!$L$2:$L$352)+SUMIF(Mercado_Receita!$S$2:$S$352,"44593B2Convencional pré-pagamentoRuralNão se aplicaNão se aplicaNão se aplicaNão se aplica",Mercado_Receita!$L$2:$L$352)</f>
        <v>0</v>
      </c>
      <c r="O39" s="13">
        <f>SUMIF(Mercado_Receita!$S$2:$S$352,"44621B2Convencional pré-pagamentoRuralNão se aplicaNão se aplicaNão se aplicaPonta",Mercado_Receita!$L$2:$L$352)+SUMIF(Mercado_Receita!$S$2:$S$352,"44621B2Convencional pré-pagamentoRuralNão se aplicaNão se aplicaNão se aplicaFora ponta",Mercado_Receita!$L$2:$L$352)+SUMIF(Mercado_Receita!$S$2:$S$352,"44621B2Convencional pré-pagamentoRuralNão se aplicaNão se aplicaNão se aplicaIntermediário",Mercado_Receita!$L$2:$L$352)+SUMIF(Mercado_Receita!$S$2:$S$352,"44621B2Convencional pré-pagamentoRuralNão se aplicaNão se aplicaNão se aplicaNão se aplica",Mercado_Receita!$L$2:$L$352)</f>
        <v>0</v>
      </c>
      <c r="P39" s="13">
        <f>SUMIF(Mercado_Receita!$S$2:$S$352,"44652B2Convencional pré-pagamentoRuralNão se aplicaNão se aplicaNão se aplicaPonta",Mercado_Receita!$L$2:$L$352)+SUMIF(Mercado_Receita!$S$2:$S$352,"44652B2Convencional pré-pagamentoRuralNão se aplicaNão se aplicaNão se aplicaFora ponta",Mercado_Receita!$L$2:$L$352)+SUMIF(Mercado_Receita!$S$2:$S$352,"44652B2Convencional pré-pagamentoRuralNão se aplicaNão se aplicaNão se aplicaIntermediário",Mercado_Receita!$L$2:$L$352)+SUMIF(Mercado_Receita!$S$2:$S$352,"44652B2Convencional pré-pagamentoRuralNão se aplicaNão se aplicaNão se aplicaNão se aplica",Mercado_Receita!$L$2:$L$352)</f>
        <v>0</v>
      </c>
      <c r="Q39" s="13">
        <f>SUMIF(Mercado_Receita!$S$2:$S$352,"44682B2Convencional pré-pagamentoRuralNão se aplicaNão se aplicaNão se aplicaPonta",Mercado_Receita!$L$2:$L$352)+SUMIF(Mercado_Receita!$S$2:$S$352,"44682B2Convencional pré-pagamentoRuralNão se aplicaNão se aplicaNão se aplicaFora ponta",Mercado_Receita!$L$2:$L$352)+SUMIF(Mercado_Receita!$S$2:$S$352,"44682B2Convencional pré-pagamentoRuralNão se aplicaNão se aplicaNão se aplicaIntermediário",Mercado_Receita!$L$2:$L$352)+SUMIF(Mercado_Receita!$S$2:$S$352,"44682B2Convencional pré-pagamentoRuralNão se aplicaNão se aplicaNão se aplicaNão se aplica",Mercado_Receita!$L$2:$L$352)</f>
        <v>0</v>
      </c>
      <c r="R39" s="13">
        <f>SUMIF(Mercado_Receita!$S$2:$S$352,"44713B2Convencional pré-pagamentoRuralNão se aplicaNão se aplicaNão se aplicaPonta",Mercado_Receita!$L$2:$L$352)+SUMIF(Mercado_Receita!$S$2:$S$352,"44713B2Convencional pré-pagamentoRuralNão se aplicaNão se aplicaNão se aplicaFora ponta",Mercado_Receita!$L$2:$L$352)+SUMIF(Mercado_Receita!$S$2:$S$352,"44713B2Convencional pré-pagamentoRuralNão se aplicaNão se aplicaNão se aplicaIntermediário",Mercado_Receita!$L$2:$L$352)+SUMIF(Mercado_Receita!$S$2:$S$352,"44713B2Convencional pré-pagamentoRuralNão se aplicaNão se aplicaNão se aplicaNão se aplica",Mercado_Receita!$L$2:$L$352)</f>
        <v>0</v>
      </c>
      <c r="S39" s="13">
        <f>SUMIF(Mercado_Receita!$S$2:$S$352,"44743B2Convencional pré-pagamentoRuralNão se aplicaNão se aplicaNão se aplicaPonta",Mercado_Receita!$L$2:$L$352)+SUMIF(Mercado_Receita!$S$2:$S$352,"44743B2Convencional pré-pagamentoRuralNão se aplicaNão se aplicaNão se aplicaFora ponta",Mercado_Receita!$L$2:$L$352)+SUMIF(Mercado_Receita!$S$2:$S$352,"44743B2Convencional pré-pagamentoRuralNão se aplicaNão se aplicaNão se aplicaIntermediário",Mercado_Receita!$L$2:$L$352)+SUMIF(Mercado_Receita!$S$2:$S$352,"44743B2Convencional pré-pagamentoRuralNão se aplicaNão se aplicaNão se aplicaNão se aplica",Mercado_Receita!$L$2:$L$352)</f>
        <v>0</v>
      </c>
      <c r="T39" s="13">
        <f>SUMIF(Mercado_Receita!$S$2:$S$352,"44774B2Convencional pré-pagamentoRuralNão se aplicaNão se aplicaNão se aplicaPonta",Mercado_Receita!$L$2:$L$352)+SUMIF(Mercado_Receita!$S$2:$S$352,"44774B2Convencional pré-pagamentoRuralNão se aplicaNão se aplicaNão se aplicaFora ponta",Mercado_Receita!$L$2:$L$352)+SUMIF(Mercado_Receita!$S$2:$S$352,"44774B2Convencional pré-pagamentoRuralNão se aplicaNão se aplicaNão se aplicaIntermediário",Mercado_Receita!$L$2:$L$352)+SUMIF(Mercado_Receita!$S$2:$S$352,"44774B2Convencional pré-pagamentoRuralNão se aplicaNão se aplicaNão se aplicaNão se aplica",Mercado_Receita!$L$2:$L$352)</f>
        <v>0</v>
      </c>
      <c r="U39" s="13">
        <f t="shared" si="0"/>
        <v>0</v>
      </c>
      <c r="V39" s="13"/>
      <c r="W39" s="13"/>
    </row>
    <row r="40" spans="1:23" ht="11.25" customHeight="1" x14ac:dyDescent="0.3">
      <c r="A40" s="74"/>
      <c r="B40" s="74"/>
      <c r="C40" s="74"/>
      <c r="D40" s="12" t="s">
        <v>85</v>
      </c>
      <c r="E40" s="12" t="s">
        <v>25</v>
      </c>
      <c r="F40" s="12" t="s">
        <v>25</v>
      </c>
      <c r="G40" s="13" t="s">
        <v>75</v>
      </c>
      <c r="H40" s="13" t="s">
        <v>69</v>
      </c>
      <c r="I40" s="13">
        <f>SUMIF(Mercado_Receita!$S$2:$S$352,"44440B2Convencional pré-pagamentoRuralCooperativa de eletrificação ruralNão se aplicaNão se aplicaPonta",Mercado_Receita!$L$2:$L$352)+SUMIF(Mercado_Receita!$S$2:$S$352,"44440B2Convencional pré-pagamentoRuralCooperativa de eletrificação ruralNão se aplicaNão se aplicaFora ponta",Mercado_Receita!$L$2:$L$352)+SUMIF(Mercado_Receita!$S$2:$S$352,"44440B2Convencional pré-pagamentoRuralCooperativa de eletrificação ruralNão se aplicaNão se aplicaIntermediário",Mercado_Receita!$L$2:$L$352)+SUMIF(Mercado_Receita!$S$2:$S$352,"44440B2Convencional pré-pagamentoRuralCooperativa de eletrificação ruralNão se aplicaNão se aplicaNão se aplica",Mercado_Receita!$L$2:$L$352)</f>
        <v>0</v>
      </c>
      <c r="J40" s="13">
        <f>SUMIF(Mercado_Receita!$S$2:$S$352,"44470B2Convencional pré-pagamentoRuralCooperativa de eletrificação ruralNão se aplicaNão se aplicaPonta",Mercado_Receita!$L$2:$L$352)+SUMIF(Mercado_Receita!$S$2:$S$352,"44470B2Convencional pré-pagamentoRuralCooperativa de eletrificação ruralNão se aplicaNão se aplicaFora ponta",Mercado_Receita!$L$2:$L$352)+SUMIF(Mercado_Receita!$S$2:$S$352,"44470B2Convencional pré-pagamentoRuralCooperativa de eletrificação ruralNão se aplicaNão se aplicaIntermediário",Mercado_Receita!$L$2:$L$352)+SUMIF(Mercado_Receita!$S$2:$S$352,"44470B2Convencional pré-pagamentoRuralCooperativa de eletrificação ruralNão se aplicaNão se aplicaNão se aplica",Mercado_Receita!$L$2:$L$352)</f>
        <v>0</v>
      </c>
      <c r="K40" s="13">
        <f>SUMIF(Mercado_Receita!$S$2:$S$352,"44501B2Convencional pré-pagamentoRuralCooperativa de eletrificação ruralNão se aplicaNão se aplicaPonta",Mercado_Receita!$L$2:$L$352)+SUMIF(Mercado_Receita!$S$2:$S$352,"44501B2Convencional pré-pagamentoRuralCooperativa de eletrificação ruralNão se aplicaNão se aplicaFora ponta",Mercado_Receita!$L$2:$L$352)+SUMIF(Mercado_Receita!$S$2:$S$352,"44501B2Convencional pré-pagamentoRuralCooperativa de eletrificação ruralNão se aplicaNão se aplicaIntermediário",Mercado_Receita!$L$2:$L$352)+SUMIF(Mercado_Receita!$S$2:$S$352,"44501B2Convencional pré-pagamentoRuralCooperativa de eletrificação ruralNão se aplicaNão se aplicaNão se aplica",Mercado_Receita!$L$2:$L$352)</f>
        <v>0</v>
      </c>
      <c r="L40" s="13">
        <f>SUMIF(Mercado_Receita!$S$2:$S$352,"44531B2Convencional pré-pagamentoRuralCooperativa de eletrificação ruralNão se aplicaNão se aplicaPonta",Mercado_Receita!$L$2:$L$352)+SUMIF(Mercado_Receita!$S$2:$S$352,"44531B2Convencional pré-pagamentoRuralCooperativa de eletrificação ruralNão se aplicaNão se aplicaFora ponta",Mercado_Receita!$L$2:$L$352)+SUMIF(Mercado_Receita!$S$2:$S$352,"44531B2Convencional pré-pagamentoRuralCooperativa de eletrificação ruralNão se aplicaNão se aplicaIntermediário",Mercado_Receita!$L$2:$L$352)+SUMIF(Mercado_Receita!$S$2:$S$352,"44531B2Convencional pré-pagamentoRuralCooperativa de eletrificação ruralNão se aplicaNão se aplicaNão se aplica",Mercado_Receita!$L$2:$L$352)</f>
        <v>0</v>
      </c>
      <c r="M40" s="13">
        <f>SUMIF(Mercado_Receita!$S$2:$S$352,"44562B2Convencional pré-pagamentoRuralCooperativa de eletrificação ruralNão se aplicaNão se aplicaPonta",Mercado_Receita!$L$2:$L$352)+SUMIF(Mercado_Receita!$S$2:$S$352,"44562B2Convencional pré-pagamentoRuralCooperativa de eletrificação ruralNão se aplicaNão se aplicaFora ponta",Mercado_Receita!$L$2:$L$352)+SUMIF(Mercado_Receita!$S$2:$S$352,"44562B2Convencional pré-pagamentoRuralCooperativa de eletrificação ruralNão se aplicaNão se aplicaIntermediário",Mercado_Receita!$L$2:$L$352)+SUMIF(Mercado_Receita!$S$2:$S$352,"44562B2Convencional pré-pagamentoRuralCooperativa de eletrificação ruralNão se aplicaNão se aplicaNão se aplica",Mercado_Receita!$L$2:$L$352)</f>
        <v>0</v>
      </c>
      <c r="N40" s="13">
        <f>SUMIF(Mercado_Receita!$S$2:$S$352,"44593B2Convencional pré-pagamentoRuralCooperativa de eletrificação ruralNão se aplicaNão se aplicaPonta",Mercado_Receita!$L$2:$L$352)+SUMIF(Mercado_Receita!$S$2:$S$352,"44593B2Convencional pré-pagamentoRuralCooperativa de eletrificação ruralNão se aplicaNão se aplicaFora ponta",Mercado_Receita!$L$2:$L$352)+SUMIF(Mercado_Receita!$S$2:$S$352,"44593B2Convencional pré-pagamentoRuralCooperativa de eletrificação ruralNão se aplicaNão se aplicaIntermediário",Mercado_Receita!$L$2:$L$352)+SUMIF(Mercado_Receita!$S$2:$S$352,"44593B2Convencional pré-pagamentoRuralCooperativa de eletrificação ruralNão se aplicaNão se aplicaNão se aplica",Mercado_Receita!$L$2:$L$352)</f>
        <v>0</v>
      </c>
      <c r="O40" s="13">
        <f>SUMIF(Mercado_Receita!$S$2:$S$352,"44621B2Convencional pré-pagamentoRuralCooperativa de eletrificação ruralNão se aplicaNão se aplicaPonta",Mercado_Receita!$L$2:$L$352)+SUMIF(Mercado_Receita!$S$2:$S$352,"44621B2Convencional pré-pagamentoRuralCooperativa de eletrificação ruralNão se aplicaNão se aplicaFora ponta",Mercado_Receita!$L$2:$L$352)+SUMIF(Mercado_Receita!$S$2:$S$352,"44621B2Convencional pré-pagamentoRuralCooperativa de eletrificação ruralNão se aplicaNão se aplicaIntermediário",Mercado_Receita!$L$2:$L$352)+SUMIF(Mercado_Receita!$S$2:$S$352,"44621B2Convencional pré-pagamentoRuralCooperativa de eletrificação ruralNão se aplicaNão se aplicaNão se aplica",Mercado_Receita!$L$2:$L$352)</f>
        <v>0</v>
      </c>
      <c r="P40" s="13">
        <f>SUMIF(Mercado_Receita!$S$2:$S$352,"44652B2Convencional pré-pagamentoRuralCooperativa de eletrificação ruralNão se aplicaNão se aplicaPonta",Mercado_Receita!$L$2:$L$352)+SUMIF(Mercado_Receita!$S$2:$S$352,"44652B2Convencional pré-pagamentoRuralCooperativa de eletrificação ruralNão se aplicaNão se aplicaFora ponta",Mercado_Receita!$L$2:$L$352)+SUMIF(Mercado_Receita!$S$2:$S$352,"44652B2Convencional pré-pagamentoRuralCooperativa de eletrificação ruralNão se aplicaNão se aplicaIntermediário",Mercado_Receita!$L$2:$L$352)+SUMIF(Mercado_Receita!$S$2:$S$352,"44652B2Convencional pré-pagamentoRuralCooperativa de eletrificação ruralNão se aplicaNão se aplicaNão se aplica",Mercado_Receita!$L$2:$L$352)</f>
        <v>0</v>
      </c>
      <c r="Q40" s="13">
        <f>SUMIF(Mercado_Receita!$S$2:$S$352,"44682B2Convencional pré-pagamentoRuralCooperativa de eletrificação ruralNão se aplicaNão se aplicaPonta",Mercado_Receita!$L$2:$L$352)+SUMIF(Mercado_Receita!$S$2:$S$352,"44682B2Convencional pré-pagamentoRuralCooperativa de eletrificação ruralNão se aplicaNão se aplicaFora ponta",Mercado_Receita!$L$2:$L$352)+SUMIF(Mercado_Receita!$S$2:$S$352,"44682B2Convencional pré-pagamentoRuralCooperativa de eletrificação ruralNão se aplicaNão se aplicaIntermediário",Mercado_Receita!$L$2:$L$352)+SUMIF(Mercado_Receita!$S$2:$S$352,"44682B2Convencional pré-pagamentoRuralCooperativa de eletrificação ruralNão se aplicaNão se aplicaNão se aplica",Mercado_Receita!$L$2:$L$352)</f>
        <v>0</v>
      </c>
      <c r="R40" s="13">
        <f>SUMIF(Mercado_Receita!$S$2:$S$352,"44713B2Convencional pré-pagamentoRuralCooperativa de eletrificação ruralNão se aplicaNão se aplicaPonta",Mercado_Receita!$L$2:$L$352)+SUMIF(Mercado_Receita!$S$2:$S$352,"44713B2Convencional pré-pagamentoRuralCooperativa de eletrificação ruralNão se aplicaNão se aplicaFora ponta",Mercado_Receita!$L$2:$L$352)+SUMIF(Mercado_Receita!$S$2:$S$352,"44713B2Convencional pré-pagamentoRuralCooperativa de eletrificação ruralNão se aplicaNão se aplicaIntermediário",Mercado_Receita!$L$2:$L$352)+SUMIF(Mercado_Receita!$S$2:$S$352,"44713B2Convencional pré-pagamentoRuralCooperativa de eletrificação ruralNão se aplicaNão se aplicaNão se aplica",Mercado_Receita!$L$2:$L$352)</f>
        <v>0</v>
      </c>
      <c r="S40" s="13">
        <f>SUMIF(Mercado_Receita!$S$2:$S$352,"44743B2Convencional pré-pagamentoRuralCooperativa de eletrificação ruralNão se aplicaNão se aplicaPonta",Mercado_Receita!$L$2:$L$352)+SUMIF(Mercado_Receita!$S$2:$S$352,"44743B2Convencional pré-pagamentoRuralCooperativa de eletrificação ruralNão se aplicaNão se aplicaFora ponta",Mercado_Receita!$L$2:$L$352)+SUMIF(Mercado_Receita!$S$2:$S$352,"44743B2Convencional pré-pagamentoRuralCooperativa de eletrificação ruralNão se aplicaNão se aplicaIntermediário",Mercado_Receita!$L$2:$L$352)+SUMIF(Mercado_Receita!$S$2:$S$352,"44743B2Convencional pré-pagamentoRuralCooperativa de eletrificação ruralNão se aplicaNão se aplicaNão se aplica",Mercado_Receita!$L$2:$L$352)</f>
        <v>0</v>
      </c>
      <c r="T40" s="13">
        <f>SUMIF(Mercado_Receita!$S$2:$S$352,"44774B2Convencional pré-pagamentoRuralCooperativa de eletrificação ruralNão se aplicaNão se aplicaPonta",Mercado_Receita!$L$2:$L$352)+SUMIF(Mercado_Receita!$S$2:$S$352,"44774B2Convencional pré-pagamentoRuralCooperativa de eletrificação ruralNão se aplicaNão se aplicaFora ponta",Mercado_Receita!$L$2:$L$352)+SUMIF(Mercado_Receita!$S$2:$S$352,"44774B2Convencional pré-pagamentoRuralCooperativa de eletrificação ruralNão se aplicaNão se aplicaIntermediário",Mercado_Receita!$L$2:$L$352)+SUMIF(Mercado_Receita!$S$2:$S$352,"44774B2Convencional pré-pagamentoRuralCooperativa de eletrificação ruralNão se aplicaNão se aplicaNão se aplica",Mercado_Receita!$L$2:$L$352)</f>
        <v>0</v>
      </c>
      <c r="U40" s="13">
        <f t="shared" si="0"/>
        <v>0</v>
      </c>
      <c r="V40" s="13"/>
      <c r="W40" s="13"/>
    </row>
    <row r="41" spans="1:23" ht="11.25" customHeight="1" x14ac:dyDescent="0.3">
      <c r="A41" s="74"/>
      <c r="B41" s="74"/>
      <c r="C41" s="74"/>
      <c r="D41" s="12" t="s">
        <v>86</v>
      </c>
      <c r="E41" s="12" t="s">
        <v>25</v>
      </c>
      <c r="F41" s="12" t="s">
        <v>25</v>
      </c>
      <c r="G41" s="13" t="s">
        <v>75</v>
      </c>
      <c r="H41" s="13" t="s">
        <v>69</v>
      </c>
      <c r="I41" s="13">
        <f>SUMIF(Mercado_Receita!$S$2:$S$352,"44440B2Convencional pré-pagamentoRuralServiço público de irrigação ruralNão se aplicaNão se aplicaPonta",Mercado_Receita!$L$2:$L$352)+SUMIF(Mercado_Receita!$S$2:$S$352,"44440B2Convencional pré-pagamentoRuralServiço público de irrigação ruralNão se aplicaNão se aplicaFora ponta",Mercado_Receita!$L$2:$L$352)+SUMIF(Mercado_Receita!$S$2:$S$352,"44440B2Convencional pré-pagamentoRuralServiço público de irrigação ruralNão se aplicaNão se aplicaIntermediário",Mercado_Receita!$L$2:$L$352)+SUMIF(Mercado_Receita!$S$2:$S$352,"44440B2Convencional pré-pagamentoRuralServiço público de irrigação ruralNão se aplicaNão se aplicaNão se aplica",Mercado_Receita!$L$2:$L$352)</f>
        <v>0</v>
      </c>
      <c r="J41" s="13">
        <f>SUMIF(Mercado_Receita!$S$2:$S$352,"44470B2Convencional pré-pagamentoRuralServiço público de irrigação ruralNão se aplicaNão se aplicaPonta",Mercado_Receita!$L$2:$L$352)+SUMIF(Mercado_Receita!$S$2:$S$352,"44470B2Convencional pré-pagamentoRuralServiço público de irrigação ruralNão se aplicaNão se aplicaFora ponta",Mercado_Receita!$L$2:$L$352)+SUMIF(Mercado_Receita!$S$2:$S$352,"44470B2Convencional pré-pagamentoRuralServiço público de irrigação ruralNão se aplicaNão se aplicaIntermediário",Mercado_Receita!$L$2:$L$352)+SUMIF(Mercado_Receita!$S$2:$S$352,"44470B2Convencional pré-pagamentoRuralServiço público de irrigação ruralNão se aplicaNão se aplicaNão se aplica",Mercado_Receita!$L$2:$L$352)</f>
        <v>0</v>
      </c>
      <c r="K41" s="13">
        <f>SUMIF(Mercado_Receita!$S$2:$S$352,"44501B2Convencional pré-pagamentoRuralServiço público de irrigação ruralNão se aplicaNão se aplicaPonta",Mercado_Receita!$L$2:$L$352)+SUMIF(Mercado_Receita!$S$2:$S$352,"44501B2Convencional pré-pagamentoRuralServiço público de irrigação ruralNão se aplicaNão se aplicaFora ponta",Mercado_Receita!$L$2:$L$352)+SUMIF(Mercado_Receita!$S$2:$S$352,"44501B2Convencional pré-pagamentoRuralServiço público de irrigação ruralNão se aplicaNão se aplicaIntermediário",Mercado_Receita!$L$2:$L$352)+SUMIF(Mercado_Receita!$S$2:$S$352,"44501B2Convencional pré-pagamentoRuralServiço público de irrigação ruralNão se aplicaNão se aplicaNão se aplica",Mercado_Receita!$L$2:$L$352)</f>
        <v>0</v>
      </c>
      <c r="L41" s="13">
        <f>SUMIF(Mercado_Receita!$S$2:$S$352,"44531B2Convencional pré-pagamentoRuralServiço público de irrigação ruralNão se aplicaNão se aplicaPonta",Mercado_Receita!$L$2:$L$352)+SUMIF(Mercado_Receita!$S$2:$S$352,"44531B2Convencional pré-pagamentoRuralServiço público de irrigação ruralNão se aplicaNão se aplicaFora ponta",Mercado_Receita!$L$2:$L$352)+SUMIF(Mercado_Receita!$S$2:$S$352,"44531B2Convencional pré-pagamentoRuralServiço público de irrigação ruralNão se aplicaNão se aplicaIntermediário",Mercado_Receita!$L$2:$L$352)+SUMIF(Mercado_Receita!$S$2:$S$352,"44531B2Convencional pré-pagamentoRuralServiço público de irrigação ruralNão se aplicaNão se aplicaNão se aplica",Mercado_Receita!$L$2:$L$352)</f>
        <v>0</v>
      </c>
      <c r="M41" s="13">
        <f>SUMIF(Mercado_Receita!$S$2:$S$352,"44562B2Convencional pré-pagamentoRuralServiço público de irrigação ruralNão se aplicaNão se aplicaPonta",Mercado_Receita!$L$2:$L$352)+SUMIF(Mercado_Receita!$S$2:$S$352,"44562B2Convencional pré-pagamentoRuralServiço público de irrigação ruralNão se aplicaNão se aplicaFora ponta",Mercado_Receita!$L$2:$L$352)+SUMIF(Mercado_Receita!$S$2:$S$352,"44562B2Convencional pré-pagamentoRuralServiço público de irrigação ruralNão se aplicaNão se aplicaIntermediário",Mercado_Receita!$L$2:$L$352)+SUMIF(Mercado_Receita!$S$2:$S$352,"44562B2Convencional pré-pagamentoRuralServiço público de irrigação ruralNão se aplicaNão se aplicaNão se aplica",Mercado_Receita!$L$2:$L$352)</f>
        <v>0</v>
      </c>
      <c r="N41" s="13">
        <f>SUMIF(Mercado_Receita!$S$2:$S$352,"44593B2Convencional pré-pagamentoRuralServiço público de irrigação ruralNão se aplicaNão se aplicaPonta",Mercado_Receita!$L$2:$L$352)+SUMIF(Mercado_Receita!$S$2:$S$352,"44593B2Convencional pré-pagamentoRuralServiço público de irrigação ruralNão se aplicaNão se aplicaFora ponta",Mercado_Receita!$L$2:$L$352)+SUMIF(Mercado_Receita!$S$2:$S$352,"44593B2Convencional pré-pagamentoRuralServiço público de irrigação ruralNão se aplicaNão se aplicaIntermediário",Mercado_Receita!$L$2:$L$352)+SUMIF(Mercado_Receita!$S$2:$S$352,"44593B2Convencional pré-pagamentoRuralServiço público de irrigação ruralNão se aplicaNão se aplicaNão se aplica",Mercado_Receita!$L$2:$L$352)</f>
        <v>0</v>
      </c>
      <c r="O41" s="13">
        <f>SUMIF(Mercado_Receita!$S$2:$S$352,"44621B2Convencional pré-pagamentoRuralServiço público de irrigação ruralNão se aplicaNão se aplicaPonta",Mercado_Receita!$L$2:$L$352)+SUMIF(Mercado_Receita!$S$2:$S$352,"44621B2Convencional pré-pagamentoRuralServiço público de irrigação ruralNão se aplicaNão se aplicaFora ponta",Mercado_Receita!$L$2:$L$352)+SUMIF(Mercado_Receita!$S$2:$S$352,"44621B2Convencional pré-pagamentoRuralServiço público de irrigação ruralNão se aplicaNão se aplicaIntermediário",Mercado_Receita!$L$2:$L$352)+SUMIF(Mercado_Receita!$S$2:$S$352,"44621B2Convencional pré-pagamentoRuralServiço público de irrigação ruralNão se aplicaNão se aplicaNão se aplica",Mercado_Receita!$L$2:$L$352)</f>
        <v>0</v>
      </c>
      <c r="P41" s="13">
        <f>SUMIF(Mercado_Receita!$S$2:$S$352,"44652B2Convencional pré-pagamentoRuralServiço público de irrigação ruralNão se aplicaNão se aplicaPonta",Mercado_Receita!$L$2:$L$352)+SUMIF(Mercado_Receita!$S$2:$S$352,"44652B2Convencional pré-pagamentoRuralServiço público de irrigação ruralNão se aplicaNão se aplicaFora ponta",Mercado_Receita!$L$2:$L$352)+SUMIF(Mercado_Receita!$S$2:$S$352,"44652B2Convencional pré-pagamentoRuralServiço público de irrigação ruralNão se aplicaNão se aplicaIntermediário",Mercado_Receita!$L$2:$L$352)+SUMIF(Mercado_Receita!$S$2:$S$352,"44652B2Convencional pré-pagamentoRuralServiço público de irrigação ruralNão se aplicaNão se aplicaNão se aplica",Mercado_Receita!$L$2:$L$352)</f>
        <v>0</v>
      </c>
      <c r="Q41" s="13">
        <f>SUMIF(Mercado_Receita!$S$2:$S$352,"44682B2Convencional pré-pagamentoRuralServiço público de irrigação ruralNão se aplicaNão se aplicaPonta",Mercado_Receita!$L$2:$L$352)+SUMIF(Mercado_Receita!$S$2:$S$352,"44682B2Convencional pré-pagamentoRuralServiço público de irrigação ruralNão se aplicaNão se aplicaFora ponta",Mercado_Receita!$L$2:$L$352)+SUMIF(Mercado_Receita!$S$2:$S$352,"44682B2Convencional pré-pagamentoRuralServiço público de irrigação ruralNão se aplicaNão se aplicaIntermediário",Mercado_Receita!$L$2:$L$352)+SUMIF(Mercado_Receita!$S$2:$S$352,"44682B2Convencional pré-pagamentoRuralServiço público de irrigação ruralNão se aplicaNão se aplicaNão se aplica",Mercado_Receita!$L$2:$L$352)</f>
        <v>0</v>
      </c>
      <c r="R41" s="13">
        <f>SUMIF(Mercado_Receita!$S$2:$S$352,"44713B2Convencional pré-pagamentoRuralServiço público de irrigação ruralNão se aplicaNão se aplicaPonta",Mercado_Receita!$L$2:$L$352)+SUMIF(Mercado_Receita!$S$2:$S$352,"44713B2Convencional pré-pagamentoRuralServiço público de irrigação ruralNão se aplicaNão se aplicaFora ponta",Mercado_Receita!$L$2:$L$352)+SUMIF(Mercado_Receita!$S$2:$S$352,"44713B2Convencional pré-pagamentoRuralServiço público de irrigação ruralNão se aplicaNão se aplicaIntermediário",Mercado_Receita!$L$2:$L$352)+SUMIF(Mercado_Receita!$S$2:$S$352,"44713B2Convencional pré-pagamentoRuralServiço público de irrigação ruralNão se aplicaNão se aplicaNão se aplica",Mercado_Receita!$L$2:$L$352)</f>
        <v>0</v>
      </c>
      <c r="S41" s="13">
        <f>SUMIF(Mercado_Receita!$S$2:$S$352,"44743B2Convencional pré-pagamentoRuralServiço público de irrigação ruralNão se aplicaNão se aplicaPonta",Mercado_Receita!$L$2:$L$352)+SUMIF(Mercado_Receita!$S$2:$S$352,"44743B2Convencional pré-pagamentoRuralServiço público de irrigação ruralNão se aplicaNão se aplicaFora ponta",Mercado_Receita!$L$2:$L$352)+SUMIF(Mercado_Receita!$S$2:$S$352,"44743B2Convencional pré-pagamentoRuralServiço público de irrigação ruralNão se aplicaNão se aplicaIntermediário",Mercado_Receita!$L$2:$L$352)+SUMIF(Mercado_Receita!$S$2:$S$352,"44743B2Convencional pré-pagamentoRuralServiço público de irrigação ruralNão se aplicaNão se aplicaNão se aplica",Mercado_Receita!$L$2:$L$352)</f>
        <v>0</v>
      </c>
      <c r="T41" s="13">
        <f>SUMIF(Mercado_Receita!$S$2:$S$352,"44774B2Convencional pré-pagamentoRuralServiço público de irrigação ruralNão se aplicaNão se aplicaPonta",Mercado_Receita!$L$2:$L$352)+SUMIF(Mercado_Receita!$S$2:$S$352,"44774B2Convencional pré-pagamentoRuralServiço público de irrigação ruralNão se aplicaNão se aplicaFora ponta",Mercado_Receita!$L$2:$L$352)+SUMIF(Mercado_Receita!$S$2:$S$352,"44774B2Convencional pré-pagamentoRuralServiço público de irrigação ruralNão se aplicaNão se aplicaIntermediário",Mercado_Receita!$L$2:$L$352)+SUMIF(Mercado_Receita!$S$2:$S$352,"44774B2Convencional pré-pagamentoRuralServiço público de irrigação ruralNão se aplicaNão se aplicaNão se aplica",Mercado_Receita!$L$2:$L$352)</f>
        <v>0</v>
      </c>
      <c r="U41" s="13">
        <f t="shared" si="0"/>
        <v>0</v>
      </c>
      <c r="V41" s="13"/>
      <c r="W41" s="13"/>
    </row>
    <row r="42" spans="1:23" ht="11.25" customHeight="1" x14ac:dyDescent="0.3">
      <c r="A42" s="73" t="s">
        <v>33</v>
      </c>
      <c r="B42" s="73" t="s">
        <v>39</v>
      </c>
      <c r="C42" s="73" t="s">
        <v>25</v>
      </c>
      <c r="D42" s="73" t="s">
        <v>25</v>
      </c>
      <c r="E42" s="73" t="s">
        <v>25</v>
      </c>
      <c r="F42" s="73" t="s">
        <v>25</v>
      </c>
      <c r="G42" s="13" t="s">
        <v>70</v>
      </c>
      <c r="H42" s="13" t="s">
        <v>69</v>
      </c>
      <c r="I42" s="13">
        <f>SUMIF(Mercado_Receita!$S$2:$S$352,"44440B3BrancaNão se aplicaNão se aplicaNão se aplicaNão se aplicaPonta",Mercado_Receita!$L$2:$L$352)</f>
        <v>0.13400000000000001</v>
      </c>
      <c r="J42" s="13">
        <f>SUMIF(Mercado_Receita!$S$2:$S$352,"44470B3BrancaNão se aplicaNão se aplicaNão se aplicaNão se aplicaPonta",Mercado_Receita!$L$2:$L$352)</f>
        <v>5.1999999999999998E-2</v>
      </c>
      <c r="K42" s="13">
        <f>SUMIF(Mercado_Receita!$S$2:$S$352,"44501B3BrancaNão se aplicaNão se aplicaNão se aplicaNão se aplicaPonta",Mercado_Receita!$L$2:$L$352)</f>
        <v>0.14399999999999999</v>
      </c>
      <c r="L42" s="13">
        <f>SUMIF(Mercado_Receita!$S$2:$S$352,"44531B3BrancaNão se aplicaNão se aplicaNão se aplicaNão se aplicaPonta",Mercado_Receita!$L$2:$L$352)</f>
        <v>5.1999999999999998E-2</v>
      </c>
      <c r="M42" s="13">
        <f>SUMIF(Mercado_Receita!$S$2:$S$352,"44562B3BrancaNão se aplicaNão se aplicaNão se aplicaNão se aplicaPonta",Mercado_Receita!$L$2:$L$352)</f>
        <v>7.2999999999999995E-2</v>
      </c>
      <c r="N42" s="13">
        <f>SUMIF(Mercado_Receita!$S$2:$S$352,"44593B3BrancaNão se aplicaNão se aplicaNão se aplicaNão se aplicaPonta",Mercado_Receita!$L$2:$L$352)</f>
        <v>7.1999999999999995E-2</v>
      </c>
      <c r="O42" s="13">
        <f>SUMIF(Mercado_Receita!$S$2:$S$352,"44621B3BrancaNão se aplicaNão se aplicaNão se aplicaNão se aplicaPonta",Mercado_Receita!$L$2:$L$352)</f>
        <v>7.2999999999999995E-2</v>
      </c>
      <c r="P42" s="13">
        <f>SUMIF(Mercado_Receita!$S$2:$S$352,"44652B3BrancaNão se aplicaNão se aplicaNão se aplicaNão se aplicaPonta",Mercado_Receita!$L$2:$L$352)</f>
        <v>0.10299999999999999</v>
      </c>
      <c r="Q42" s="13">
        <f>SUMIF(Mercado_Receita!$S$2:$S$352,"44682B3BrancaNão se aplicaNão se aplicaNão se aplicaNão se aplicaPonta",Mercado_Receita!$L$2:$L$352)</f>
        <v>3.2000000000000001E-2</v>
      </c>
      <c r="R42" s="13">
        <f>SUMIF(Mercado_Receita!$S$2:$S$352,"44713B3BrancaNão se aplicaNão se aplicaNão se aplicaNão se aplicaPonta",Mercado_Receita!$L$2:$L$352)</f>
        <v>9.1999999999999998E-2</v>
      </c>
      <c r="S42" s="13">
        <f>SUMIF(Mercado_Receita!$S$2:$S$352,"44743B3BrancaNão se aplicaNão se aplicaNão se aplicaNão se aplicaPonta",Mercado_Receita!$L$2:$L$352)</f>
        <v>0.113</v>
      </c>
      <c r="T42" s="13">
        <f>SUMIF(Mercado_Receita!$S$2:$S$352,"44774B3BrancaNão se aplicaNão se aplicaNão se aplicaNão se aplicaPonta",Mercado_Receita!$L$2:$L$352)</f>
        <v>0.113</v>
      </c>
      <c r="U42" s="13">
        <f t="shared" si="0"/>
        <v>1.0529999999999999</v>
      </c>
      <c r="V42" s="13"/>
      <c r="W42" s="13"/>
    </row>
    <row r="43" spans="1:23" ht="11.25" customHeight="1" x14ac:dyDescent="0.3">
      <c r="A43" s="74"/>
      <c r="B43" s="74"/>
      <c r="C43" s="74"/>
      <c r="D43" s="74"/>
      <c r="E43" s="74"/>
      <c r="F43" s="74"/>
      <c r="G43" s="13" t="s">
        <v>81</v>
      </c>
      <c r="H43" s="13" t="s">
        <v>69</v>
      </c>
      <c r="I43" s="13">
        <f>SUMIF(Mercado_Receita!$S$2:$S$352,"44440B3BrancaNão se aplicaNão se aplicaNão se aplicaNão se aplicaIntermediário",Mercado_Receita!$L$2:$L$352)</f>
        <v>0.14399999999999999</v>
      </c>
      <c r="J43" s="13">
        <f>SUMIF(Mercado_Receita!$S$2:$S$352,"44470B3BrancaNão se aplicaNão se aplicaNão se aplicaNão se aplicaIntermediário",Mercado_Receita!$L$2:$L$352)</f>
        <v>0.33</v>
      </c>
      <c r="K43" s="13">
        <f>SUMIF(Mercado_Receita!$S$2:$S$352,"44501B3BrancaNão se aplicaNão se aplicaNão se aplicaNão se aplicaIntermediário",Mercado_Receita!$L$2:$L$352)</f>
        <v>0.14399999999999999</v>
      </c>
      <c r="L43" s="13">
        <f>SUMIF(Mercado_Receita!$S$2:$S$352,"44531B3BrancaNão se aplicaNão se aplicaNão se aplicaNão se aplicaIntermediário",Mercado_Receita!$L$2:$L$352)</f>
        <v>0.185</v>
      </c>
      <c r="M43" s="13">
        <f>SUMIF(Mercado_Receita!$S$2:$S$352,"44562B3BrancaNão se aplicaNão se aplicaNão se aplicaNão se aplicaIntermediário",Mercado_Receita!$L$2:$L$352)</f>
        <v>0.10299999999999999</v>
      </c>
      <c r="N43" s="13">
        <f>SUMIF(Mercado_Receita!$S$2:$S$352,"44593B3BrancaNão se aplicaNão se aplicaNão se aplicaNão se aplicaIntermediário",Mercado_Receita!$L$2:$L$352)</f>
        <v>0.19600000000000001</v>
      </c>
      <c r="O43" s="13">
        <f>SUMIF(Mercado_Receita!$S$2:$S$352,"44621B3BrancaNão se aplicaNão se aplicaNão se aplicaNão se aplicaIntermediário",Mercado_Receita!$L$2:$L$352)</f>
        <v>0.185</v>
      </c>
      <c r="P43" s="13">
        <f>SUMIF(Mercado_Receita!$S$2:$S$352,"44652B3BrancaNão se aplicaNão se aplicaNão se aplicaNão se aplicaIntermediário",Mercado_Receita!$L$2:$L$352)</f>
        <v>0.22600000000000001</v>
      </c>
      <c r="Q43" s="13">
        <f>SUMIF(Mercado_Receita!$S$2:$S$352,"44682B3BrancaNão se aplicaNão se aplicaNão se aplicaNão se aplicaIntermediário",Mercado_Receita!$L$2:$L$352)</f>
        <v>0.19600000000000001</v>
      </c>
      <c r="R43" s="13">
        <f>SUMIF(Mercado_Receita!$S$2:$S$352,"44713B3BrancaNão se aplicaNão se aplicaNão se aplicaNão se aplicaIntermediário",Mercado_Receita!$L$2:$L$352)</f>
        <v>0.23599999999999999</v>
      </c>
      <c r="S43" s="13">
        <f>SUMIF(Mercado_Receita!$S$2:$S$352,"44743B3BrancaNão se aplicaNão se aplicaNão se aplicaNão se aplicaIntermediário",Mercado_Receita!$L$2:$L$352)</f>
        <v>0.126</v>
      </c>
      <c r="T43" s="13">
        <f>SUMIF(Mercado_Receita!$S$2:$S$352,"44774B3BrancaNão se aplicaNão se aplicaNão se aplicaNão se aplicaIntermediário",Mercado_Receita!$L$2:$L$352)</f>
        <v>0.126</v>
      </c>
      <c r="U43" s="13">
        <f t="shared" si="0"/>
        <v>2.1969999999999996</v>
      </c>
      <c r="V43" s="13"/>
      <c r="W43" s="13"/>
    </row>
    <row r="44" spans="1:23" ht="11.25" customHeight="1" x14ac:dyDescent="0.3">
      <c r="A44" s="74"/>
      <c r="B44" s="74"/>
      <c r="C44" s="74"/>
      <c r="D44" s="74"/>
      <c r="E44" s="74"/>
      <c r="F44" s="74"/>
      <c r="G44" s="13" t="s">
        <v>71</v>
      </c>
      <c r="H44" s="13" t="s">
        <v>69</v>
      </c>
      <c r="I44" s="13">
        <f>SUMIF(Mercado_Receita!$S$2:$S$352,"44440B3BrancaNão se aplicaNão se aplicaNão se aplicaNão se aplicaFora ponta",Mercado_Receita!$L$2:$L$352)</f>
        <v>28.125</v>
      </c>
      <c r="J44" s="13">
        <f>SUMIF(Mercado_Receita!$S$2:$S$352,"44470B3BrancaNão se aplicaNão se aplicaNão se aplicaNão se aplicaFora ponta",Mercado_Receita!$L$2:$L$352)</f>
        <v>33.966000000000001</v>
      </c>
      <c r="K44" s="13">
        <f>SUMIF(Mercado_Receita!$S$2:$S$352,"44501B3BrancaNão se aplicaNão se aplicaNão se aplicaNão se aplicaFora ponta",Mercado_Receita!$L$2:$L$352)</f>
        <v>34.052</v>
      </c>
      <c r="L44" s="13">
        <f>SUMIF(Mercado_Receita!$S$2:$S$352,"44531B3BrancaNão se aplicaNão se aplicaNão se aplicaNão se aplicaFora ponta",Mercado_Receita!$L$2:$L$352)</f>
        <v>27.806999999999999</v>
      </c>
      <c r="M44" s="13">
        <f>SUMIF(Mercado_Receita!$S$2:$S$352,"44562B3BrancaNão se aplicaNão se aplicaNão se aplicaNão se aplicaFora ponta",Mercado_Receita!$L$2:$L$352)</f>
        <v>21.280999999999999</v>
      </c>
      <c r="N44" s="13">
        <f>SUMIF(Mercado_Receita!$S$2:$S$352,"44593B3BrancaNão se aplicaNão se aplicaNão se aplicaNão se aplicaFora ponta",Mercado_Receita!$L$2:$L$352)</f>
        <v>34.11</v>
      </c>
      <c r="O44" s="13">
        <f>SUMIF(Mercado_Receita!$S$2:$S$352,"44621B3BrancaNão se aplicaNão se aplicaNão se aplicaNão se aplicaFora ponta",Mercado_Receita!$L$2:$L$352)</f>
        <v>35.738</v>
      </c>
      <c r="P44" s="13">
        <f>SUMIF(Mercado_Receita!$S$2:$S$352,"44652B3BrancaNão se aplicaNão se aplicaNão se aplicaNão se aplicaFora ponta",Mercado_Receita!$L$2:$L$352)</f>
        <v>29.988</v>
      </c>
      <c r="Q44" s="13">
        <f>SUMIF(Mercado_Receita!$S$2:$S$352,"44682B3BrancaNão se aplicaNão se aplicaNão se aplicaNão se aplicaFora ponta",Mercado_Receita!$L$2:$L$352)</f>
        <v>27.564</v>
      </c>
      <c r="R44" s="13">
        <f>SUMIF(Mercado_Receita!$S$2:$S$352,"44713B3BrancaNão se aplicaNão se aplicaNão se aplicaNão se aplicaFora ponta",Mercado_Receita!$L$2:$L$352)</f>
        <v>34.933</v>
      </c>
      <c r="S44" s="13">
        <f>SUMIF(Mercado_Receita!$S$2:$S$352,"44743B3BrancaNão se aplicaNão se aplicaNão se aplicaNão se aplicaFora ponta",Mercado_Receita!$L$2:$L$352)</f>
        <v>32.753</v>
      </c>
      <c r="T44" s="13">
        <f>SUMIF(Mercado_Receita!$S$2:$S$352,"44774B3BrancaNão se aplicaNão se aplicaNão se aplicaNão se aplicaFora ponta",Mercado_Receita!$L$2:$L$352)</f>
        <v>32.753</v>
      </c>
      <c r="U44" s="13">
        <f t="shared" si="0"/>
        <v>373.07</v>
      </c>
      <c r="V44" s="13"/>
      <c r="W44" s="13"/>
    </row>
    <row r="45" spans="1:23" ht="11.25" customHeight="1" x14ac:dyDescent="0.3">
      <c r="A45" s="74"/>
      <c r="B45" s="12" t="s">
        <v>23</v>
      </c>
      <c r="C45" s="12" t="s">
        <v>25</v>
      </c>
      <c r="D45" s="12" t="s">
        <v>25</v>
      </c>
      <c r="E45" s="12" t="s">
        <v>25</v>
      </c>
      <c r="F45" s="12" t="s">
        <v>25</v>
      </c>
      <c r="G45" s="13" t="s">
        <v>75</v>
      </c>
      <c r="H45" s="13" t="s">
        <v>69</v>
      </c>
      <c r="I45" s="13">
        <f>SUMIF(Mercado_Receita!$S$2:$S$352,"44440B3ConvencionalNão se aplicaNão se aplicaNão se aplicaNão se aplicaPonta",Mercado_Receita!$L$2:$L$352)+SUMIF(Mercado_Receita!$S$2:$S$352,"44440B3ConvencionalNão se aplicaNão se aplicaNão se aplicaNão se aplicaFora ponta",Mercado_Receita!$L$2:$L$352)+SUMIF(Mercado_Receita!$S$2:$S$352,"44440B3ConvencionalNão se aplicaNão se aplicaNão se aplicaNão se aplicaIntermediário",Mercado_Receita!$L$2:$L$352)+SUMIF(Mercado_Receita!$S$2:$S$352,"44440B3ConvencionalNão se aplicaNão se aplicaNão se aplicaNão se aplicaNão se aplica",Mercado_Receita!$L$2:$L$352)</f>
        <v>255.00399999999999</v>
      </c>
      <c r="J45" s="13">
        <f>SUMIF(Mercado_Receita!$S$2:$S$352,"44470B3ConvencionalNão se aplicaNão se aplicaNão se aplicaNão se aplicaPonta",Mercado_Receita!$L$2:$L$352)+SUMIF(Mercado_Receita!$S$2:$S$352,"44470B3ConvencionalNão se aplicaNão se aplicaNão se aplicaNão se aplicaFora ponta",Mercado_Receita!$L$2:$L$352)+SUMIF(Mercado_Receita!$S$2:$S$352,"44470B3ConvencionalNão se aplicaNão se aplicaNão se aplicaNão se aplicaIntermediário",Mercado_Receita!$L$2:$L$352)+SUMIF(Mercado_Receita!$S$2:$S$352,"44470B3ConvencionalNão se aplicaNão se aplicaNão se aplicaNão se aplicaNão se aplica",Mercado_Receita!$L$2:$L$352)</f>
        <v>284.77799999999996</v>
      </c>
      <c r="K45" s="13">
        <f>SUMIF(Mercado_Receita!$S$2:$S$352,"44501B3ConvencionalNão se aplicaNão se aplicaNão se aplicaNão se aplicaPonta",Mercado_Receita!$L$2:$L$352)+SUMIF(Mercado_Receita!$S$2:$S$352,"44501B3ConvencionalNão se aplicaNão se aplicaNão se aplicaNão se aplicaFora ponta",Mercado_Receita!$L$2:$L$352)+SUMIF(Mercado_Receita!$S$2:$S$352,"44501B3ConvencionalNão se aplicaNão se aplicaNão se aplicaNão se aplicaIntermediário",Mercado_Receita!$L$2:$L$352)+SUMIF(Mercado_Receita!$S$2:$S$352,"44501B3ConvencionalNão se aplicaNão se aplicaNão se aplicaNão se aplicaNão se aplica",Mercado_Receita!$L$2:$L$352)</f>
        <v>263.77799999999996</v>
      </c>
      <c r="L45" s="13">
        <f>SUMIF(Mercado_Receita!$S$2:$S$352,"44531B3ConvencionalNão se aplicaNão se aplicaNão se aplicaNão se aplicaPonta",Mercado_Receita!$L$2:$L$352)+SUMIF(Mercado_Receita!$S$2:$S$352,"44531B3ConvencionalNão se aplicaNão se aplicaNão se aplicaNão se aplicaFora ponta",Mercado_Receita!$L$2:$L$352)+SUMIF(Mercado_Receita!$S$2:$S$352,"44531B3ConvencionalNão se aplicaNão se aplicaNão se aplicaNão se aplicaIntermediário",Mercado_Receita!$L$2:$L$352)+SUMIF(Mercado_Receita!$S$2:$S$352,"44531B3ConvencionalNão se aplicaNão se aplicaNão se aplicaNão se aplicaNão se aplica",Mercado_Receita!$L$2:$L$352)</f>
        <v>248.60599999999999</v>
      </c>
      <c r="M45" s="13">
        <f>SUMIF(Mercado_Receita!$S$2:$S$352,"44562B3ConvencionalNão se aplicaNão se aplicaNão se aplicaNão se aplicaPonta",Mercado_Receita!$L$2:$L$352)+SUMIF(Mercado_Receita!$S$2:$S$352,"44562B3ConvencionalNão se aplicaNão se aplicaNão se aplicaNão se aplicaFora ponta",Mercado_Receita!$L$2:$L$352)+SUMIF(Mercado_Receita!$S$2:$S$352,"44562B3ConvencionalNão se aplicaNão se aplicaNão se aplicaNão se aplicaIntermediário",Mercado_Receita!$L$2:$L$352)+SUMIF(Mercado_Receita!$S$2:$S$352,"44562B3ConvencionalNão se aplicaNão se aplicaNão se aplicaNão se aplicaNão se aplica",Mercado_Receita!$L$2:$L$352)</f>
        <v>233.285</v>
      </c>
      <c r="N45" s="13">
        <f>SUMIF(Mercado_Receita!$S$2:$S$352,"44593B3ConvencionalNão se aplicaNão se aplicaNão se aplicaNão se aplicaPonta",Mercado_Receita!$L$2:$L$352)+SUMIF(Mercado_Receita!$S$2:$S$352,"44593B3ConvencionalNão se aplicaNão se aplicaNão se aplicaNão se aplicaFora ponta",Mercado_Receita!$L$2:$L$352)+SUMIF(Mercado_Receita!$S$2:$S$352,"44593B3ConvencionalNão se aplicaNão se aplicaNão se aplicaNão se aplicaIntermediário",Mercado_Receita!$L$2:$L$352)+SUMIF(Mercado_Receita!$S$2:$S$352,"44593B3ConvencionalNão se aplicaNão se aplicaNão se aplicaNão se aplicaNão se aplica",Mercado_Receita!$L$2:$L$352)</f>
        <v>301.39299999999997</v>
      </c>
      <c r="O45" s="13">
        <f>SUMIF(Mercado_Receita!$S$2:$S$352,"44621B3ConvencionalNão se aplicaNão se aplicaNão se aplicaNão se aplicaPonta",Mercado_Receita!$L$2:$L$352)+SUMIF(Mercado_Receita!$S$2:$S$352,"44621B3ConvencionalNão se aplicaNão se aplicaNão se aplicaNão se aplicaFora ponta",Mercado_Receita!$L$2:$L$352)+SUMIF(Mercado_Receita!$S$2:$S$352,"44621B3ConvencionalNão se aplicaNão se aplicaNão se aplicaNão se aplicaIntermediário",Mercado_Receita!$L$2:$L$352)+SUMIF(Mercado_Receita!$S$2:$S$352,"44621B3ConvencionalNão se aplicaNão se aplicaNão se aplicaNão se aplicaNão se aplica",Mercado_Receita!$L$2:$L$352)</f>
        <v>290.54300000000001</v>
      </c>
      <c r="P45" s="13">
        <f>SUMIF(Mercado_Receita!$S$2:$S$352,"44652B3ConvencionalNão se aplicaNão se aplicaNão se aplicaNão se aplicaPonta",Mercado_Receita!$L$2:$L$352)+SUMIF(Mercado_Receita!$S$2:$S$352,"44652B3ConvencionalNão se aplicaNão se aplicaNão se aplicaNão se aplicaFora ponta",Mercado_Receita!$L$2:$L$352)+SUMIF(Mercado_Receita!$S$2:$S$352,"44652B3ConvencionalNão se aplicaNão se aplicaNão se aplicaNão se aplicaIntermediário",Mercado_Receita!$L$2:$L$352)+SUMIF(Mercado_Receita!$S$2:$S$352,"44652B3ConvencionalNão se aplicaNão se aplicaNão se aplicaNão se aplicaNão se aplica",Mercado_Receita!$L$2:$L$352)</f>
        <v>268.38200000000001</v>
      </c>
      <c r="Q45" s="13">
        <f>SUMIF(Mercado_Receita!$S$2:$S$352,"44682B3ConvencionalNão se aplicaNão se aplicaNão se aplicaNão se aplicaPonta",Mercado_Receita!$L$2:$L$352)+SUMIF(Mercado_Receita!$S$2:$S$352,"44682B3ConvencionalNão se aplicaNão se aplicaNão se aplicaNão se aplicaFora ponta",Mercado_Receita!$L$2:$L$352)+SUMIF(Mercado_Receita!$S$2:$S$352,"44682B3ConvencionalNão se aplicaNão se aplicaNão se aplicaNão se aplicaIntermediário",Mercado_Receita!$L$2:$L$352)+SUMIF(Mercado_Receita!$S$2:$S$352,"44682B3ConvencionalNão se aplicaNão se aplicaNão se aplicaNão se aplicaNão se aplica",Mercado_Receita!$L$2:$L$352)</f>
        <v>270.73099999999999</v>
      </c>
      <c r="R45" s="13">
        <f>SUMIF(Mercado_Receita!$S$2:$S$352,"44713B3ConvencionalNão se aplicaNão se aplicaNão se aplicaNão se aplicaPonta",Mercado_Receita!$L$2:$L$352)+SUMIF(Mercado_Receita!$S$2:$S$352,"44713B3ConvencionalNão se aplicaNão se aplicaNão se aplicaNão se aplicaFora ponta",Mercado_Receita!$L$2:$L$352)+SUMIF(Mercado_Receita!$S$2:$S$352,"44713B3ConvencionalNão se aplicaNão se aplicaNão se aplicaNão se aplicaIntermediário",Mercado_Receita!$L$2:$L$352)+SUMIF(Mercado_Receita!$S$2:$S$352,"44713B3ConvencionalNão se aplicaNão se aplicaNão se aplicaNão se aplicaNão se aplica",Mercado_Receita!$L$2:$L$352)</f>
        <v>289.565</v>
      </c>
      <c r="S45" s="13">
        <f>SUMIF(Mercado_Receita!$S$2:$S$352,"44743B3ConvencionalNão se aplicaNão se aplicaNão se aplicaNão se aplicaPonta",Mercado_Receita!$L$2:$L$352)+SUMIF(Mercado_Receita!$S$2:$S$352,"44743B3ConvencionalNão se aplicaNão se aplicaNão se aplicaNão se aplicaFora ponta",Mercado_Receita!$L$2:$L$352)+SUMIF(Mercado_Receita!$S$2:$S$352,"44743B3ConvencionalNão se aplicaNão se aplicaNão se aplicaNão se aplicaIntermediário",Mercado_Receita!$L$2:$L$352)+SUMIF(Mercado_Receita!$S$2:$S$352,"44743B3ConvencionalNão se aplicaNão se aplicaNão se aplicaNão se aplicaNão se aplica",Mercado_Receita!$L$2:$L$352)</f>
        <v>246.744</v>
      </c>
      <c r="T45" s="13">
        <f>SUMIF(Mercado_Receita!$S$2:$S$352,"44774B3ConvencionalNão se aplicaNão se aplicaNão se aplicaNão se aplicaPonta",Mercado_Receita!$L$2:$L$352)+SUMIF(Mercado_Receita!$S$2:$S$352,"44774B3ConvencionalNão se aplicaNão se aplicaNão se aplicaNão se aplicaFora ponta",Mercado_Receita!$L$2:$L$352)+SUMIF(Mercado_Receita!$S$2:$S$352,"44774B3ConvencionalNão se aplicaNão se aplicaNão se aplicaNão se aplicaIntermediário",Mercado_Receita!$L$2:$L$352)+SUMIF(Mercado_Receita!$S$2:$S$352,"44774B3ConvencionalNão se aplicaNão se aplicaNão se aplicaNão se aplicaNão se aplica",Mercado_Receita!$L$2:$L$352)</f>
        <v>246.744</v>
      </c>
      <c r="U45" s="13">
        <f t="shared" si="0"/>
        <v>3199.5530000000003</v>
      </c>
      <c r="V45" s="13"/>
      <c r="W45" s="13"/>
    </row>
    <row r="46" spans="1:23" ht="11.25" customHeight="1" x14ac:dyDescent="0.3">
      <c r="A46" s="74"/>
      <c r="B46" s="12" t="s">
        <v>84</v>
      </c>
      <c r="C46" s="12" t="s">
        <v>25</v>
      </c>
      <c r="D46" s="12" t="s">
        <v>25</v>
      </c>
      <c r="E46" s="12" t="s">
        <v>25</v>
      </c>
      <c r="F46" s="12" t="s">
        <v>25</v>
      </c>
      <c r="G46" s="13" t="s">
        <v>75</v>
      </c>
      <c r="H46" s="13" t="s">
        <v>69</v>
      </c>
      <c r="I46" s="13">
        <f>SUMIF(Mercado_Receita!$S$2:$S$352,"44440B3Convencional pré-pagamentoNão se aplicaNão se aplicaNão se aplicaNão se aplicaPonta",Mercado_Receita!$L$2:$L$352)+SUMIF(Mercado_Receita!$S$2:$S$352,"44440B3Convencional pré-pagamentoNão se aplicaNão se aplicaNão se aplicaNão se aplicaFora ponta",Mercado_Receita!$L$2:$L$352)+SUMIF(Mercado_Receita!$S$2:$S$352,"44440B3Convencional pré-pagamentoNão se aplicaNão se aplicaNão se aplicaNão se aplicaIntermediário",Mercado_Receita!$L$2:$L$352)+SUMIF(Mercado_Receita!$S$2:$S$352,"44440B3Convencional pré-pagamentoNão se aplicaNão se aplicaNão se aplicaNão se aplicaNão se aplica",Mercado_Receita!$L$2:$L$352)</f>
        <v>0</v>
      </c>
      <c r="J46" s="13">
        <f>SUMIF(Mercado_Receita!$S$2:$S$352,"44470B3Convencional pré-pagamentoNão se aplicaNão se aplicaNão se aplicaNão se aplicaPonta",Mercado_Receita!$L$2:$L$352)+SUMIF(Mercado_Receita!$S$2:$S$352,"44470B3Convencional pré-pagamentoNão se aplicaNão se aplicaNão se aplicaNão se aplicaFora ponta",Mercado_Receita!$L$2:$L$352)+SUMIF(Mercado_Receita!$S$2:$S$352,"44470B3Convencional pré-pagamentoNão se aplicaNão se aplicaNão se aplicaNão se aplicaIntermediário",Mercado_Receita!$L$2:$L$352)+SUMIF(Mercado_Receita!$S$2:$S$352,"44470B3Convencional pré-pagamentoNão se aplicaNão se aplicaNão se aplicaNão se aplicaNão se aplica",Mercado_Receita!$L$2:$L$352)</f>
        <v>0</v>
      </c>
      <c r="K46" s="13">
        <f>SUMIF(Mercado_Receita!$S$2:$S$352,"44501B3Convencional pré-pagamentoNão se aplicaNão se aplicaNão se aplicaNão se aplicaPonta",Mercado_Receita!$L$2:$L$352)+SUMIF(Mercado_Receita!$S$2:$S$352,"44501B3Convencional pré-pagamentoNão se aplicaNão se aplicaNão se aplicaNão se aplicaFora ponta",Mercado_Receita!$L$2:$L$352)+SUMIF(Mercado_Receita!$S$2:$S$352,"44501B3Convencional pré-pagamentoNão se aplicaNão se aplicaNão se aplicaNão se aplicaIntermediário",Mercado_Receita!$L$2:$L$352)+SUMIF(Mercado_Receita!$S$2:$S$352,"44501B3Convencional pré-pagamentoNão se aplicaNão se aplicaNão se aplicaNão se aplicaNão se aplica",Mercado_Receita!$L$2:$L$352)</f>
        <v>0</v>
      </c>
      <c r="L46" s="13">
        <f>SUMIF(Mercado_Receita!$S$2:$S$352,"44531B3Convencional pré-pagamentoNão se aplicaNão se aplicaNão se aplicaNão se aplicaPonta",Mercado_Receita!$L$2:$L$352)+SUMIF(Mercado_Receita!$S$2:$S$352,"44531B3Convencional pré-pagamentoNão se aplicaNão se aplicaNão se aplicaNão se aplicaFora ponta",Mercado_Receita!$L$2:$L$352)+SUMIF(Mercado_Receita!$S$2:$S$352,"44531B3Convencional pré-pagamentoNão se aplicaNão se aplicaNão se aplicaNão se aplicaIntermediário",Mercado_Receita!$L$2:$L$352)+SUMIF(Mercado_Receita!$S$2:$S$352,"44531B3Convencional pré-pagamentoNão se aplicaNão se aplicaNão se aplicaNão se aplicaNão se aplica",Mercado_Receita!$L$2:$L$352)</f>
        <v>0</v>
      </c>
      <c r="M46" s="13">
        <f>SUMIF(Mercado_Receita!$S$2:$S$352,"44562B3Convencional pré-pagamentoNão se aplicaNão se aplicaNão se aplicaNão se aplicaPonta",Mercado_Receita!$L$2:$L$352)+SUMIF(Mercado_Receita!$S$2:$S$352,"44562B3Convencional pré-pagamentoNão se aplicaNão se aplicaNão se aplicaNão se aplicaFora ponta",Mercado_Receita!$L$2:$L$352)+SUMIF(Mercado_Receita!$S$2:$S$352,"44562B3Convencional pré-pagamentoNão se aplicaNão se aplicaNão se aplicaNão se aplicaIntermediário",Mercado_Receita!$L$2:$L$352)+SUMIF(Mercado_Receita!$S$2:$S$352,"44562B3Convencional pré-pagamentoNão se aplicaNão se aplicaNão se aplicaNão se aplicaNão se aplica",Mercado_Receita!$L$2:$L$352)</f>
        <v>0</v>
      </c>
      <c r="N46" s="13">
        <f>SUMIF(Mercado_Receita!$S$2:$S$352,"44593B3Convencional pré-pagamentoNão se aplicaNão se aplicaNão se aplicaNão se aplicaPonta",Mercado_Receita!$L$2:$L$352)+SUMIF(Mercado_Receita!$S$2:$S$352,"44593B3Convencional pré-pagamentoNão se aplicaNão se aplicaNão se aplicaNão se aplicaFora ponta",Mercado_Receita!$L$2:$L$352)+SUMIF(Mercado_Receita!$S$2:$S$352,"44593B3Convencional pré-pagamentoNão se aplicaNão se aplicaNão se aplicaNão se aplicaIntermediário",Mercado_Receita!$L$2:$L$352)+SUMIF(Mercado_Receita!$S$2:$S$352,"44593B3Convencional pré-pagamentoNão se aplicaNão se aplicaNão se aplicaNão se aplicaNão se aplica",Mercado_Receita!$L$2:$L$352)</f>
        <v>0</v>
      </c>
      <c r="O46" s="13">
        <f>SUMIF(Mercado_Receita!$S$2:$S$352,"44621B3Convencional pré-pagamentoNão se aplicaNão se aplicaNão se aplicaNão se aplicaPonta",Mercado_Receita!$L$2:$L$352)+SUMIF(Mercado_Receita!$S$2:$S$352,"44621B3Convencional pré-pagamentoNão se aplicaNão se aplicaNão se aplicaNão se aplicaFora ponta",Mercado_Receita!$L$2:$L$352)+SUMIF(Mercado_Receita!$S$2:$S$352,"44621B3Convencional pré-pagamentoNão se aplicaNão se aplicaNão se aplicaNão se aplicaIntermediário",Mercado_Receita!$L$2:$L$352)+SUMIF(Mercado_Receita!$S$2:$S$352,"44621B3Convencional pré-pagamentoNão se aplicaNão se aplicaNão se aplicaNão se aplicaNão se aplica",Mercado_Receita!$L$2:$L$352)</f>
        <v>0</v>
      </c>
      <c r="P46" s="13">
        <f>SUMIF(Mercado_Receita!$S$2:$S$352,"44652B3Convencional pré-pagamentoNão se aplicaNão se aplicaNão se aplicaNão se aplicaPonta",Mercado_Receita!$L$2:$L$352)+SUMIF(Mercado_Receita!$S$2:$S$352,"44652B3Convencional pré-pagamentoNão se aplicaNão se aplicaNão se aplicaNão se aplicaFora ponta",Mercado_Receita!$L$2:$L$352)+SUMIF(Mercado_Receita!$S$2:$S$352,"44652B3Convencional pré-pagamentoNão se aplicaNão se aplicaNão se aplicaNão se aplicaIntermediário",Mercado_Receita!$L$2:$L$352)+SUMIF(Mercado_Receita!$S$2:$S$352,"44652B3Convencional pré-pagamentoNão se aplicaNão se aplicaNão se aplicaNão se aplicaNão se aplica",Mercado_Receita!$L$2:$L$352)</f>
        <v>0</v>
      </c>
      <c r="Q46" s="13">
        <f>SUMIF(Mercado_Receita!$S$2:$S$352,"44682B3Convencional pré-pagamentoNão se aplicaNão se aplicaNão se aplicaNão se aplicaPonta",Mercado_Receita!$L$2:$L$352)+SUMIF(Mercado_Receita!$S$2:$S$352,"44682B3Convencional pré-pagamentoNão se aplicaNão se aplicaNão se aplicaNão se aplicaFora ponta",Mercado_Receita!$L$2:$L$352)+SUMIF(Mercado_Receita!$S$2:$S$352,"44682B3Convencional pré-pagamentoNão se aplicaNão se aplicaNão se aplicaNão se aplicaIntermediário",Mercado_Receita!$L$2:$L$352)+SUMIF(Mercado_Receita!$S$2:$S$352,"44682B3Convencional pré-pagamentoNão se aplicaNão se aplicaNão se aplicaNão se aplicaNão se aplica",Mercado_Receita!$L$2:$L$352)</f>
        <v>0</v>
      </c>
      <c r="R46" s="13">
        <f>SUMIF(Mercado_Receita!$S$2:$S$352,"44713B3Convencional pré-pagamentoNão se aplicaNão se aplicaNão se aplicaNão se aplicaPonta",Mercado_Receita!$L$2:$L$352)+SUMIF(Mercado_Receita!$S$2:$S$352,"44713B3Convencional pré-pagamentoNão se aplicaNão se aplicaNão se aplicaNão se aplicaFora ponta",Mercado_Receita!$L$2:$L$352)+SUMIF(Mercado_Receita!$S$2:$S$352,"44713B3Convencional pré-pagamentoNão se aplicaNão se aplicaNão se aplicaNão se aplicaIntermediário",Mercado_Receita!$L$2:$L$352)+SUMIF(Mercado_Receita!$S$2:$S$352,"44713B3Convencional pré-pagamentoNão se aplicaNão se aplicaNão se aplicaNão se aplicaNão se aplica",Mercado_Receita!$L$2:$L$352)</f>
        <v>0</v>
      </c>
      <c r="S46" s="13">
        <f>SUMIF(Mercado_Receita!$S$2:$S$352,"44743B3Convencional pré-pagamentoNão se aplicaNão se aplicaNão se aplicaNão se aplicaPonta",Mercado_Receita!$L$2:$L$352)+SUMIF(Mercado_Receita!$S$2:$S$352,"44743B3Convencional pré-pagamentoNão se aplicaNão se aplicaNão se aplicaNão se aplicaFora ponta",Mercado_Receita!$L$2:$L$352)+SUMIF(Mercado_Receita!$S$2:$S$352,"44743B3Convencional pré-pagamentoNão se aplicaNão se aplicaNão se aplicaNão se aplicaIntermediário",Mercado_Receita!$L$2:$L$352)+SUMIF(Mercado_Receita!$S$2:$S$352,"44743B3Convencional pré-pagamentoNão se aplicaNão se aplicaNão se aplicaNão se aplicaNão se aplica",Mercado_Receita!$L$2:$L$352)</f>
        <v>0</v>
      </c>
      <c r="T46" s="13">
        <f>SUMIF(Mercado_Receita!$S$2:$S$352,"44774B3Convencional pré-pagamentoNão se aplicaNão se aplicaNão se aplicaNão se aplicaPonta",Mercado_Receita!$L$2:$L$352)+SUMIF(Mercado_Receita!$S$2:$S$352,"44774B3Convencional pré-pagamentoNão se aplicaNão se aplicaNão se aplicaNão se aplicaFora ponta",Mercado_Receita!$L$2:$L$352)+SUMIF(Mercado_Receita!$S$2:$S$352,"44774B3Convencional pré-pagamentoNão se aplicaNão se aplicaNão se aplicaNão se aplicaIntermediário",Mercado_Receita!$L$2:$L$352)+SUMIF(Mercado_Receita!$S$2:$S$352,"44774B3Convencional pré-pagamentoNão se aplicaNão se aplicaNão se aplicaNão se aplicaNão se aplica",Mercado_Receita!$L$2:$L$352)</f>
        <v>0</v>
      </c>
      <c r="U46" s="13">
        <f t="shared" si="0"/>
        <v>0</v>
      </c>
      <c r="V46" s="13"/>
      <c r="W46" s="13"/>
    </row>
    <row r="47" spans="1:23" ht="11.25" customHeight="1" x14ac:dyDescent="0.3">
      <c r="A47" s="73" t="s">
        <v>45</v>
      </c>
      <c r="B47" s="73" t="s">
        <v>23</v>
      </c>
      <c r="C47" s="73" t="s">
        <v>46</v>
      </c>
      <c r="D47" s="12" t="s">
        <v>47</v>
      </c>
      <c r="E47" s="12" t="s">
        <v>25</v>
      </c>
      <c r="F47" s="12" t="s">
        <v>25</v>
      </c>
      <c r="G47" s="13" t="s">
        <v>75</v>
      </c>
      <c r="H47" s="13" t="s">
        <v>69</v>
      </c>
      <c r="I47" s="13">
        <f>SUMIF(Mercado_Receita!$S$2:$S$352,"44440B4ConvencionalIluminação públicaIluminação pública – B4aNão se aplicaNão se aplicaPonta",Mercado_Receita!$L$2:$L$352)+SUMIF(Mercado_Receita!$S$2:$S$352,"44440B4ConvencionalIluminação públicaIluminação pública – B4aNão se aplicaNão se aplicaFora ponta",Mercado_Receita!$L$2:$L$352)+SUMIF(Mercado_Receita!$S$2:$S$352,"44440B4ConvencionalIluminação públicaIluminação pública – B4aNão se aplicaNão se aplicaIntermediário",Mercado_Receita!$L$2:$L$352)+SUMIF(Mercado_Receita!$S$2:$S$352,"44440B4ConvencionalIluminação públicaIluminação pública – B4aNão se aplicaNão se aplicaNão se aplica",Mercado_Receita!$L$2:$L$352)</f>
        <v>83.29</v>
      </c>
      <c r="J47" s="13">
        <f>SUMIF(Mercado_Receita!$S$2:$S$352,"44470B4ConvencionalIluminação públicaIluminação pública – B4aNão se aplicaNão se aplicaPonta",Mercado_Receita!$L$2:$L$352)+SUMIF(Mercado_Receita!$S$2:$S$352,"44470B4ConvencionalIluminação públicaIluminação pública – B4aNão se aplicaNão se aplicaFora ponta",Mercado_Receita!$L$2:$L$352)+SUMIF(Mercado_Receita!$S$2:$S$352,"44470B4ConvencionalIluminação públicaIluminação pública – B4aNão se aplicaNão se aplicaIntermediário",Mercado_Receita!$L$2:$L$352)+SUMIF(Mercado_Receita!$S$2:$S$352,"44470B4ConvencionalIluminação públicaIluminação pública – B4aNão se aplicaNão se aplicaNão se aplica",Mercado_Receita!$L$2:$L$352)</f>
        <v>83.29</v>
      </c>
      <c r="K47" s="13">
        <f>SUMIF(Mercado_Receita!$S$2:$S$352,"44501B4ConvencionalIluminação públicaIluminação pública – B4aNão se aplicaNão se aplicaPonta",Mercado_Receita!$L$2:$L$352)+SUMIF(Mercado_Receita!$S$2:$S$352,"44501B4ConvencionalIluminação públicaIluminação pública – B4aNão se aplicaNão se aplicaFora ponta",Mercado_Receita!$L$2:$L$352)+SUMIF(Mercado_Receita!$S$2:$S$352,"44501B4ConvencionalIluminação públicaIluminação pública – B4aNão se aplicaNão se aplicaIntermediário",Mercado_Receita!$L$2:$L$352)+SUMIF(Mercado_Receita!$S$2:$S$352,"44501B4ConvencionalIluminação públicaIluminação pública – B4aNão se aplicaNão se aplicaNão se aplica",Mercado_Receita!$L$2:$L$352)</f>
        <v>83.29</v>
      </c>
      <c r="L47" s="13">
        <f>SUMIF(Mercado_Receita!$S$2:$S$352,"44531B4ConvencionalIluminação públicaIluminação pública – B4aNão se aplicaNão se aplicaPonta",Mercado_Receita!$L$2:$L$352)+SUMIF(Mercado_Receita!$S$2:$S$352,"44531B4ConvencionalIluminação públicaIluminação pública – B4aNão se aplicaNão se aplicaFora ponta",Mercado_Receita!$L$2:$L$352)+SUMIF(Mercado_Receita!$S$2:$S$352,"44531B4ConvencionalIluminação públicaIluminação pública – B4aNão se aplicaNão se aplicaIntermediário",Mercado_Receita!$L$2:$L$352)+SUMIF(Mercado_Receita!$S$2:$S$352,"44531B4ConvencionalIluminação públicaIluminação pública – B4aNão se aplicaNão se aplicaNão se aplica",Mercado_Receita!$L$2:$L$352)</f>
        <v>83.29</v>
      </c>
      <c r="M47" s="13">
        <f>SUMIF(Mercado_Receita!$S$2:$S$352,"44562B4ConvencionalIluminação públicaIluminação pública – B4aNão se aplicaNão se aplicaPonta",Mercado_Receita!$L$2:$L$352)+SUMIF(Mercado_Receita!$S$2:$S$352,"44562B4ConvencionalIluminação públicaIluminação pública – B4aNão se aplicaNão se aplicaFora ponta",Mercado_Receita!$L$2:$L$352)+SUMIF(Mercado_Receita!$S$2:$S$352,"44562B4ConvencionalIluminação públicaIluminação pública – B4aNão se aplicaNão se aplicaIntermediário",Mercado_Receita!$L$2:$L$352)+SUMIF(Mercado_Receita!$S$2:$S$352,"44562B4ConvencionalIluminação públicaIluminação pública – B4aNão se aplicaNão se aplicaNão se aplica",Mercado_Receita!$L$2:$L$352)</f>
        <v>84.697999999999993</v>
      </c>
      <c r="N47" s="13">
        <f>SUMIF(Mercado_Receita!$S$2:$S$352,"44593B4ConvencionalIluminação públicaIluminação pública – B4aNão se aplicaNão se aplicaPonta",Mercado_Receita!$L$2:$L$352)+SUMIF(Mercado_Receita!$S$2:$S$352,"44593B4ConvencionalIluminação públicaIluminação pública – B4aNão se aplicaNão se aplicaFora ponta",Mercado_Receita!$L$2:$L$352)+SUMIF(Mercado_Receita!$S$2:$S$352,"44593B4ConvencionalIluminação públicaIluminação pública – B4aNão se aplicaNão se aplicaIntermediário",Mercado_Receita!$L$2:$L$352)+SUMIF(Mercado_Receita!$S$2:$S$352,"44593B4ConvencionalIluminação públicaIluminação pública – B4aNão se aplicaNão se aplicaNão se aplica",Mercado_Receita!$L$2:$L$352)</f>
        <v>84.697999999999993</v>
      </c>
      <c r="O47" s="13">
        <f>SUMIF(Mercado_Receita!$S$2:$S$352,"44621B4ConvencionalIluminação públicaIluminação pública – B4aNão se aplicaNão se aplicaPonta",Mercado_Receita!$L$2:$L$352)+SUMIF(Mercado_Receita!$S$2:$S$352,"44621B4ConvencionalIluminação públicaIluminação pública – B4aNão se aplicaNão se aplicaFora ponta",Mercado_Receita!$L$2:$L$352)+SUMIF(Mercado_Receita!$S$2:$S$352,"44621B4ConvencionalIluminação públicaIluminação pública – B4aNão se aplicaNão se aplicaIntermediário",Mercado_Receita!$L$2:$L$352)+SUMIF(Mercado_Receita!$S$2:$S$352,"44621B4ConvencionalIluminação públicaIluminação pública – B4aNão se aplicaNão se aplicaNão se aplica",Mercado_Receita!$L$2:$L$352)</f>
        <v>84.697999999999993</v>
      </c>
      <c r="P47" s="13">
        <f>SUMIF(Mercado_Receita!$S$2:$S$352,"44652B4ConvencionalIluminação públicaIluminação pública – B4aNão se aplicaNão se aplicaPonta",Mercado_Receita!$L$2:$L$352)+SUMIF(Mercado_Receita!$S$2:$S$352,"44652B4ConvencionalIluminação públicaIluminação pública – B4aNão se aplicaNão se aplicaFora ponta",Mercado_Receita!$L$2:$L$352)+SUMIF(Mercado_Receita!$S$2:$S$352,"44652B4ConvencionalIluminação públicaIluminação pública – B4aNão se aplicaNão se aplicaIntermediário",Mercado_Receita!$L$2:$L$352)+SUMIF(Mercado_Receita!$S$2:$S$352,"44652B4ConvencionalIluminação públicaIluminação pública – B4aNão se aplicaNão se aplicaNão se aplica",Mercado_Receita!$L$2:$L$352)</f>
        <v>84.697999999999993</v>
      </c>
      <c r="Q47" s="13">
        <f>SUMIF(Mercado_Receita!$S$2:$S$352,"44682B4ConvencionalIluminação públicaIluminação pública – B4aNão se aplicaNão se aplicaPonta",Mercado_Receita!$L$2:$L$352)+SUMIF(Mercado_Receita!$S$2:$S$352,"44682B4ConvencionalIluminação públicaIluminação pública – B4aNão se aplicaNão se aplicaFora ponta",Mercado_Receita!$L$2:$L$352)+SUMIF(Mercado_Receita!$S$2:$S$352,"44682B4ConvencionalIluminação públicaIluminação pública – B4aNão se aplicaNão se aplicaIntermediário",Mercado_Receita!$L$2:$L$352)+SUMIF(Mercado_Receita!$S$2:$S$352,"44682B4ConvencionalIluminação públicaIluminação pública – B4aNão se aplicaNão se aplicaNão se aplica",Mercado_Receita!$L$2:$L$352)</f>
        <v>84.697999999999993</v>
      </c>
      <c r="R47" s="13">
        <f>SUMIF(Mercado_Receita!$S$2:$S$352,"44713B4ConvencionalIluminação públicaIluminação pública – B4aNão se aplicaNão se aplicaPonta",Mercado_Receita!$L$2:$L$352)+SUMIF(Mercado_Receita!$S$2:$S$352,"44713B4ConvencionalIluminação públicaIluminação pública – B4aNão se aplicaNão se aplicaFora ponta",Mercado_Receita!$L$2:$L$352)+SUMIF(Mercado_Receita!$S$2:$S$352,"44713B4ConvencionalIluminação públicaIluminação pública – B4aNão se aplicaNão se aplicaIntermediário",Mercado_Receita!$L$2:$L$352)+SUMIF(Mercado_Receita!$S$2:$S$352,"44713B4ConvencionalIluminação públicaIluminação pública – B4aNão se aplicaNão se aplicaNão se aplica",Mercado_Receita!$L$2:$L$352)</f>
        <v>84.697999999999993</v>
      </c>
      <c r="S47" s="13">
        <f>SUMIF(Mercado_Receita!$S$2:$S$352,"44743B4ConvencionalIluminação públicaIluminação pública – B4aNão se aplicaNão se aplicaPonta",Mercado_Receita!$L$2:$L$352)+SUMIF(Mercado_Receita!$S$2:$S$352,"44743B4ConvencionalIluminação públicaIluminação pública – B4aNão se aplicaNão se aplicaFora ponta",Mercado_Receita!$L$2:$L$352)+SUMIF(Mercado_Receita!$S$2:$S$352,"44743B4ConvencionalIluminação públicaIluminação pública – B4aNão se aplicaNão se aplicaIntermediário",Mercado_Receita!$L$2:$L$352)+SUMIF(Mercado_Receita!$S$2:$S$352,"44743B4ConvencionalIluminação públicaIluminação pública – B4aNão se aplicaNão se aplicaNão se aplica",Mercado_Receita!$L$2:$L$352)</f>
        <v>84.697999999999993</v>
      </c>
      <c r="T47" s="13">
        <f>SUMIF(Mercado_Receita!$S$2:$S$352,"44774B4ConvencionalIluminação públicaIluminação pública – B4aNão se aplicaNão se aplicaPonta",Mercado_Receita!$L$2:$L$352)+SUMIF(Mercado_Receita!$S$2:$S$352,"44774B4ConvencionalIluminação públicaIluminação pública – B4aNão se aplicaNão se aplicaFora ponta",Mercado_Receita!$L$2:$L$352)+SUMIF(Mercado_Receita!$S$2:$S$352,"44774B4ConvencionalIluminação públicaIluminação pública – B4aNão se aplicaNão se aplicaIntermediário",Mercado_Receita!$L$2:$L$352)+SUMIF(Mercado_Receita!$S$2:$S$352,"44774B4ConvencionalIluminação públicaIluminação pública – B4aNão se aplicaNão se aplicaNão se aplica",Mercado_Receita!$L$2:$L$352)</f>
        <v>84.697999999999993</v>
      </c>
      <c r="U47" s="13">
        <f t="shared" si="0"/>
        <v>1010.7439999999999</v>
      </c>
      <c r="V47" s="13"/>
      <c r="W47" s="13"/>
    </row>
    <row r="48" spans="1:23" ht="11.25" customHeight="1" x14ac:dyDescent="0.3">
      <c r="A48" s="74"/>
      <c r="B48" s="74"/>
      <c r="C48" s="74"/>
      <c r="D48" s="13" t="s">
        <v>87</v>
      </c>
      <c r="E48" s="13" t="s">
        <v>25</v>
      </c>
      <c r="F48" s="13" t="s">
        <v>25</v>
      </c>
      <c r="G48" s="13" t="s">
        <v>75</v>
      </c>
      <c r="H48" s="13" t="s">
        <v>69</v>
      </c>
      <c r="I48" s="13">
        <f>SUMIF(Mercado_Receita!$S$2:$S$352,"44440B4ConvencionalIluminação públicaIluminação pública – B4bNão se aplicaNão se aplicaPonta",Mercado_Receita!$L$2:$L$352)+SUMIF(Mercado_Receita!$S$2:$S$352,"44440B4ConvencionalIluminação públicaIluminação pública – B4bNão se aplicaNão se aplicaFora ponta",Mercado_Receita!$L$2:$L$352)+SUMIF(Mercado_Receita!$S$2:$S$352,"44440B4ConvencionalIluminação públicaIluminação pública – B4bNão se aplicaNão se aplicaIntermediário",Mercado_Receita!$L$2:$L$352)+SUMIF(Mercado_Receita!$S$2:$S$352,"44440B4ConvencionalIluminação públicaIluminação pública – B4bNão se aplicaNão se aplicaNão se aplica",Mercado_Receita!$L$2:$L$352)</f>
        <v>0</v>
      </c>
      <c r="J48" s="13">
        <f>SUMIF(Mercado_Receita!$S$2:$S$352,"44470B4ConvencionalIluminação públicaIluminação pública – B4bNão se aplicaNão se aplicaPonta",Mercado_Receita!$L$2:$L$352)+SUMIF(Mercado_Receita!$S$2:$S$352,"44470B4ConvencionalIluminação públicaIluminação pública – B4bNão se aplicaNão se aplicaFora ponta",Mercado_Receita!$L$2:$L$352)+SUMIF(Mercado_Receita!$S$2:$S$352,"44470B4ConvencionalIluminação públicaIluminação pública – B4bNão se aplicaNão se aplicaIntermediário",Mercado_Receita!$L$2:$L$352)+SUMIF(Mercado_Receita!$S$2:$S$352,"44470B4ConvencionalIluminação públicaIluminação pública – B4bNão se aplicaNão se aplicaNão se aplica",Mercado_Receita!$L$2:$L$352)</f>
        <v>0</v>
      </c>
      <c r="K48" s="13">
        <f>SUMIF(Mercado_Receita!$S$2:$S$352,"44501B4ConvencionalIluminação públicaIluminação pública – B4bNão se aplicaNão se aplicaPonta",Mercado_Receita!$L$2:$L$352)+SUMIF(Mercado_Receita!$S$2:$S$352,"44501B4ConvencionalIluminação públicaIluminação pública – B4bNão se aplicaNão se aplicaFora ponta",Mercado_Receita!$L$2:$L$352)+SUMIF(Mercado_Receita!$S$2:$S$352,"44501B4ConvencionalIluminação públicaIluminação pública – B4bNão se aplicaNão se aplicaIntermediário",Mercado_Receita!$L$2:$L$352)+SUMIF(Mercado_Receita!$S$2:$S$352,"44501B4ConvencionalIluminação públicaIluminação pública – B4bNão se aplicaNão se aplicaNão se aplica",Mercado_Receita!$L$2:$L$352)</f>
        <v>0</v>
      </c>
      <c r="L48" s="13">
        <f>SUMIF(Mercado_Receita!$S$2:$S$352,"44531B4ConvencionalIluminação públicaIluminação pública – B4bNão se aplicaNão se aplicaPonta",Mercado_Receita!$L$2:$L$352)+SUMIF(Mercado_Receita!$S$2:$S$352,"44531B4ConvencionalIluminação públicaIluminação pública – B4bNão se aplicaNão se aplicaFora ponta",Mercado_Receita!$L$2:$L$352)+SUMIF(Mercado_Receita!$S$2:$S$352,"44531B4ConvencionalIluminação públicaIluminação pública – B4bNão se aplicaNão se aplicaIntermediário",Mercado_Receita!$L$2:$L$352)+SUMIF(Mercado_Receita!$S$2:$S$352,"44531B4ConvencionalIluminação públicaIluminação pública – B4bNão se aplicaNão se aplicaNão se aplica",Mercado_Receita!$L$2:$L$352)</f>
        <v>0</v>
      </c>
      <c r="M48" s="13">
        <f>SUMIF(Mercado_Receita!$S$2:$S$352,"44562B4ConvencionalIluminação públicaIluminação pública – B4bNão se aplicaNão se aplicaPonta",Mercado_Receita!$L$2:$L$352)+SUMIF(Mercado_Receita!$S$2:$S$352,"44562B4ConvencionalIluminação públicaIluminação pública – B4bNão se aplicaNão se aplicaFora ponta",Mercado_Receita!$L$2:$L$352)+SUMIF(Mercado_Receita!$S$2:$S$352,"44562B4ConvencionalIluminação públicaIluminação pública – B4bNão se aplicaNão se aplicaIntermediário",Mercado_Receita!$L$2:$L$352)+SUMIF(Mercado_Receita!$S$2:$S$352,"44562B4ConvencionalIluminação públicaIluminação pública – B4bNão se aplicaNão se aplicaNão se aplica",Mercado_Receita!$L$2:$L$352)</f>
        <v>0</v>
      </c>
      <c r="N48" s="13">
        <f>SUMIF(Mercado_Receita!$S$2:$S$352,"44593B4ConvencionalIluminação públicaIluminação pública – B4bNão se aplicaNão se aplicaPonta",Mercado_Receita!$L$2:$L$352)+SUMIF(Mercado_Receita!$S$2:$S$352,"44593B4ConvencionalIluminação públicaIluminação pública – B4bNão se aplicaNão se aplicaFora ponta",Mercado_Receita!$L$2:$L$352)+SUMIF(Mercado_Receita!$S$2:$S$352,"44593B4ConvencionalIluminação públicaIluminação pública – B4bNão se aplicaNão se aplicaIntermediário",Mercado_Receita!$L$2:$L$352)+SUMIF(Mercado_Receita!$S$2:$S$352,"44593B4ConvencionalIluminação públicaIluminação pública – B4bNão se aplicaNão se aplicaNão se aplica",Mercado_Receita!$L$2:$L$352)</f>
        <v>0</v>
      </c>
      <c r="O48" s="13">
        <f>SUMIF(Mercado_Receita!$S$2:$S$352,"44621B4ConvencionalIluminação públicaIluminação pública – B4bNão se aplicaNão se aplicaPonta",Mercado_Receita!$L$2:$L$352)+SUMIF(Mercado_Receita!$S$2:$S$352,"44621B4ConvencionalIluminação públicaIluminação pública – B4bNão se aplicaNão se aplicaFora ponta",Mercado_Receita!$L$2:$L$352)+SUMIF(Mercado_Receita!$S$2:$S$352,"44621B4ConvencionalIluminação públicaIluminação pública – B4bNão se aplicaNão se aplicaIntermediário",Mercado_Receita!$L$2:$L$352)+SUMIF(Mercado_Receita!$S$2:$S$352,"44621B4ConvencionalIluminação públicaIluminação pública – B4bNão se aplicaNão se aplicaNão se aplica",Mercado_Receita!$L$2:$L$352)</f>
        <v>0</v>
      </c>
      <c r="P48" s="13">
        <f>SUMIF(Mercado_Receita!$S$2:$S$352,"44652B4ConvencionalIluminação públicaIluminação pública – B4bNão se aplicaNão se aplicaPonta",Mercado_Receita!$L$2:$L$352)+SUMIF(Mercado_Receita!$S$2:$S$352,"44652B4ConvencionalIluminação públicaIluminação pública – B4bNão se aplicaNão se aplicaFora ponta",Mercado_Receita!$L$2:$L$352)+SUMIF(Mercado_Receita!$S$2:$S$352,"44652B4ConvencionalIluminação públicaIluminação pública – B4bNão se aplicaNão se aplicaIntermediário",Mercado_Receita!$L$2:$L$352)+SUMIF(Mercado_Receita!$S$2:$S$352,"44652B4ConvencionalIluminação públicaIluminação pública – B4bNão se aplicaNão se aplicaNão se aplica",Mercado_Receita!$L$2:$L$352)</f>
        <v>0</v>
      </c>
      <c r="Q48" s="13">
        <f>SUMIF(Mercado_Receita!$S$2:$S$352,"44682B4ConvencionalIluminação públicaIluminação pública – B4bNão se aplicaNão se aplicaPonta",Mercado_Receita!$L$2:$L$352)+SUMIF(Mercado_Receita!$S$2:$S$352,"44682B4ConvencionalIluminação públicaIluminação pública – B4bNão se aplicaNão se aplicaFora ponta",Mercado_Receita!$L$2:$L$352)+SUMIF(Mercado_Receita!$S$2:$S$352,"44682B4ConvencionalIluminação públicaIluminação pública – B4bNão se aplicaNão se aplicaIntermediário",Mercado_Receita!$L$2:$L$352)+SUMIF(Mercado_Receita!$S$2:$S$352,"44682B4ConvencionalIluminação públicaIluminação pública – B4bNão se aplicaNão se aplicaNão se aplica",Mercado_Receita!$L$2:$L$352)</f>
        <v>0</v>
      </c>
      <c r="R48" s="13">
        <f>SUMIF(Mercado_Receita!$S$2:$S$352,"44713B4ConvencionalIluminação públicaIluminação pública – B4bNão se aplicaNão se aplicaPonta",Mercado_Receita!$L$2:$L$352)+SUMIF(Mercado_Receita!$S$2:$S$352,"44713B4ConvencionalIluminação públicaIluminação pública – B4bNão se aplicaNão se aplicaFora ponta",Mercado_Receita!$L$2:$L$352)+SUMIF(Mercado_Receita!$S$2:$S$352,"44713B4ConvencionalIluminação públicaIluminação pública – B4bNão se aplicaNão se aplicaIntermediário",Mercado_Receita!$L$2:$L$352)+SUMIF(Mercado_Receita!$S$2:$S$352,"44713B4ConvencionalIluminação públicaIluminação pública – B4bNão se aplicaNão se aplicaNão se aplica",Mercado_Receita!$L$2:$L$352)</f>
        <v>0</v>
      </c>
      <c r="S48" s="13">
        <f>SUMIF(Mercado_Receita!$S$2:$S$352,"44743B4ConvencionalIluminação públicaIluminação pública – B4bNão se aplicaNão se aplicaPonta",Mercado_Receita!$L$2:$L$352)+SUMIF(Mercado_Receita!$S$2:$S$352,"44743B4ConvencionalIluminação públicaIluminação pública – B4bNão se aplicaNão se aplicaFora ponta",Mercado_Receita!$L$2:$L$352)+SUMIF(Mercado_Receita!$S$2:$S$352,"44743B4ConvencionalIluminação públicaIluminação pública – B4bNão se aplicaNão se aplicaIntermediário",Mercado_Receita!$L$2:$L$352)+SUMIF(Mercado_Receita!$S$2:$S$352,"44743B4ConvencionalIluminação públicaIluminação pública – B4bNão se aplicaNão se aplicaNão se aplica",Mercado_Receita!$L$2:$L$352)</f>
        <v>0</v>
      </c>
      <c r="T48" s="13">
        <f>SUMIF(Mercado_Receita!$S$2:$S$352,"44774B4ConvencionalIluminação públicaIluminação pública – B4bNão se aplicaNão se aplicaPonta",Mercado_Receita!$L$2:$L$352)+SUMIF(Mercado_Receita!$S$2:$S$352,"44774B4ConvencionalIluminação públicaIluminação pública – B4bNão se aplicaNão se aplicaFora ponta",Mercado_Receita!$L$2:$L$352)+SUMIF(Mercado_Receita!$S$2:$S$352,"44774B4ConvencionalIluminação públicaIluminação pública – B4bNão se aplicaNão se aplicaIntermediário",Mercado_Receita!$L$2:$L$352)+SUMIF(Mercado_Receita!$S$2:$S$352,"44774B4ConvencionalIluminação públicaIluminação pública – B4bNão se aplicaNão se aplicaNão se aplica",Mercado_Receita!$L$2:$L$352)</f>
        <v>0</v>
      </c>
      <c r="U48" s="13">
        <f t="shared" si="0"/>
        <v>0</v>
      </c>
      <c r="V48" s="13"/>
      <c r="W48" s="13"/>
    </row>
    <row r="49" spans="1:23" ht="11.25" customHeight="1" x14ac:dyDescent="0.3">
      <c r="A49" s="75" t="s">
        <v>422</v>
      </c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13"/>
      <c r="W49" s="13"/>
    </row>
  </sheetData>
  <mergeCells count="55">
    <mergeCell ref="A2:A11"/>
    <mergeCell ref="F2:F4"/>
    <mergeCell ref="E2:E4"/>
    <mergeCell ref="D2:D5"/>
    <mergeCell ref="C2:C5"/>
    <mergeCell ref="B2:B5"/>
    <mergeCell ref="F7:F9"/>
    <mergeCell ref="E7:E9"/>
    <mergeCell ref="F10:F11"/>
    <mergeCell ref="E10:E11"/>
    <mergeCell ref="D7:D11"/>
    <mergeCell ref="C7:C11"/>
    <mergeCell ref="B7:B11"/>
    <mergeCell ref="D12:D13"/>
    <mergeCell ref="C12:C13"/>
    <mergeCell ref="B12:B13"/>
    <mergeCell ref="A12:A13"/>
    <mergeCell ref="F14:F16"/>
    <mergeCell ref="E14:E16"/>
    <mergeCell ref="D14:D16"/>
    <mergeCell ref="C14:C16"/>
    <mergeCell ref="B14:B16"/>
    <mergeCell ref="F27:F29"/>
    <mergeCell ref="E27:E29"/>
    <mergeCell ref="D27:D29"/>
    <mergeCell ref="C27:C29"/>
    <mergeCell ref="B27:B29"/>
    <mergeCell ref="C17:C21"/>
    <mergeCell ref="B17:B21"/>
    <mergeCell ref="C22:C26"/>
    <mergeCell ref="B22:B26"/>
    <mergeCell ref="A14:A26"/>
    <mergeCell ref="C31:C33"/>
    <mergeCell ref="B31:B33"/>
    <mergeCell ref="F35:F37"/>
    <mergeCell ref="E35:E37"/>
    <mergeCell ref="D35:D37"/>
    <mergeCell ref="C35:C37"/>
    <mergeCell ref="B35:B37"/>
    <mergeCell ref="A47:A48"/>
    <mergeCell ref="B47:B48"/>
    <mergeCell ref="C47:C48"/>
    <mergeCell ref="A49:U49"/>
    <mergeCell ref="C39:C41"/>
    <mergeCell ref="B39:B41"/>
    <mergeCell ref="A27:A41"/>
    <mergeCell ref="F42:F44"/>
    <mergeCell ref="E42:E44"/>
    <mergeCell ref="D42:D44"/>
    <mergeCell ref="C42:C44"/>
    <mergeCell ref="B42:B44"/>
    <mergeCell ref="A42:A46"/>
    <mergeCell ref="F31:F33"/>
    <mergeCell ref="E31:E33"/>
    <mergeCell ref="D31:D3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C52F-3999-4A9B-A5A6-55DEA27CBDAC}">
  <sheetPr codeName="Planilha5"/>
  <dimension ref="A1:AD39"/>
  <sheetViews>
    <sheetView showGridLines="0" workbookViewId="0">
      <selection sqref="A1:W39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20" width="7" style="9" bestFit="1" customWidth="1"/>
    <col min="21" max="21" width="14.109375" style="9" bestFit="1" customWidth="1"/>
    <col min="22" max="16384" width="9.109375" style="9"/>
  </cols>
  <sheetData>
    <row r="1" spans="1:30" ht="11.25" customHeight="1" x14ac:dyDescent="0.3">
      <c r="A1" s="10" t="s">
        <v>59</v>
      </c>
      <c r="B1" s="10" t="s">
        <v>60</v>
      </c>
      <c r="C1" s="10" t="s">
        <v>61</v>
      </c>
      <c r="D1" s="10" t="s">
        <v>62</v>
      </c>
      <c r="E1" s="10" t="s">
        <v>63</v>
      </c>
      <c r="F1" s="10" t="s">
        <v>64</v>
      </c>
      <c r="G1" s="10" t="s">
        <v>65</v>
      </c>
      <c r="H1" s="10" t="s">
        <v>66</v>
      </c>
      <c r="I1" s="11">
        <v>44440</v>
      </c>
      <c r="J1" s="11">
        <v>44470</v>
      </c>
      <c r="K1" s="11">
        <v>44501</v>
      </c>
      <c r="L1" s="11">
        <v>44531</v>
      </c>
      <c r="M1" s="11">
        <v>44562</v>
      </c>
      <c r="N1" s="11">
        <v>44593</v>
      </c>
      <c r="O1" s="11">
        <v>44621</v>
      </c>
      <c r="P1" s="11">
        <v>44652</v>
      </c>
      <c r="Q1" s="11">
        <v>44682</v>
      </c>
      <c r="R1" s="11">
        <v>44713</v>
      </c>
      <c r="S1" s="11">
        <v>44743</v>
      </c>
      <c r="T1" s="11">
        <v>44774</v>
      </c>
      <c r="U1" s="10" t="s">
        <v>67</v>
      </c>
      <c r="V1" s="10"/>
      <c r="W1" s="10"/>
      <c r="X1" s="7"/>
      <c r="Y1" s="7"/>
      <c r="Z1" s="7"/>
      <c r="AA1" s="7"/>
      <c r="AB1" s="7"/>
      <c r="AC1" s="7"/>
      <c r="AD1" s="7"/>
    </row>
    <row r="2" spans="1:30" ht="11.25" customHeight="1" x14ac:dyDescent="0.3">
      <c r="A2" s="73" t="s">
        <v>35</v>
      </c>
      <c r="B2" s="73" t="s">
        <v>68</v>
      </c>
      <c r="C2" s="73" t="s">
        <v>25</v>
      </c>
      <c r="D2" s="73" t="s">
        <v>25</v>
      </c>
      <c r="E2" s="73" t="s">
        <v>25</v>
      </c>
      <c r="F2" s="73" t="s">
        <v>25</v>
      </c>
      <c r="G2" s="13" t="s">
        <v>70</v>
      </c>
      <c r="H2" s="13" t="s">
        <v>69</v>
      </c>
      <c r="I2" s="13">
        <f>SUMIF(Mercado_Receita!$T$2:$T$352,"44440A4Energia horáriaNão se aplicaNão se aplicaNão se aplicaNão se aplicaPonta",Mercado_Receita!$N$2:$N$352)</f>
        <v>107.233</v>
      </c>
      <c r="J2" s="13">
        <f>SUMIF(Mercado_Receita!$T$2:$T$352,"44470A4Energia horáriaNão se aplicaNão se aplicaNão se aplicaNão se aplicaPonta",Mercado_Receita!$N$2:$N$352)</f>
        <v>94.060999999999993</v>
      </c>
      <c r="K2" s="13">
        <f>SUMIF(Mercado_Receita!$T$2:$T$352,"44501A4Energia horáriaNão se aplicaNão se aplicaNão se aplicaNão se aplicaPonta",Mercado_Receita!$N$2:$N$352)</f>
        <v>95.427999999999997</v>
      </c>
      <c r="L2" s="13">
        <f>SUMIF(Mercado_Receita!$T$2:$T$352,"44531A4Energia horáriaNão se aplicaNão se aplicaNão se aplicaNão se aplicaPonta",Mercado_Receita!$N$2:$N$352)</f>
        <v>100.22</v>
      </c>
      <c r="M2" s="13">
        <f>SUMIF(Mercado_Receita!$T$2:$T$352,"44562A4Energia horáriaNão se aplicaNão se aplicaNão se aplicaNão se aplicaPonta",Mercado_Receita!$N$2:$N$352)</f>
        <v>99.77000000000001</v>
      </c>
      <c r="N2" s="13">
        <f>SUMIF(Mercado_Receita!$T$2:$T$352,"44593A4Energia horáriaNão se aplicaNão se aplicaNão se aplicaNão se aplicaPonta",Mercado_Receita!$N$2:$N$352)</f>
        <v>99.884</v>
      </c>
      <c r="O2" s="13">
        <f>SUMIF(Mercado_Receita!$T$2:$T$352,"44621A4Energia horáriaNão se aplicaNão se aplicaNão se aplicaNão se aplicaPonta",Mercado_Receita!$N$2:$N$352)</f>
        <v>123.72200000000001</v>
      </c>
      <c r="P2" s="13">
        <f>SUMIF(Mercado_Receita!$T$2:$T$352,"44652A4Energia horáriaNão se aplicaNão se aplicaNão se aplicaNão se aplicaPonta",Mercado_Receita!$N$2:$N$352)</f>
        <v>93.706999999999994</v>
      </c>
      <c r="Q2" s="13">
        <f>SUMIF(Mercado_Receita!$T$2:$T$352,"44682A4Energia horáriaNão se aplicaNão se aplicaNão se aplicaNão se aplicaPonta",Mercado_Receita!$N$2:$N$352)</f>
        <v>115.43199999999999</v>
      </c>
      <c r="R2" s="13">
        <f>SUMIF(Mercado_Receita!$T$2:$T$352,"44713A4Energia horáriaNão se aplicaNão se aplicaNão se aplicaNão se aplicaPonta",Mercado_Receita!$N$2:$N$352)</f>
        <v>105.872</v>
      </c>
      <c r="S2" s="13">
        <f>SUMIF(Mercado_Receita!$T$2:$T$352,"44743A4Energia horáriaNão se aplicaNão se aplicaNão se aplicaNão se aplicaPonta",Mercado_Receita!$N$2:$N$352)</f>
        <v>106.65499999999999</v>
      </c>
      <c r="T2" s="13">
        <f>SUMIF(Mercado_Receita!$T$2:$T$352,"44774A4Energia horáriaNão se aplicaNão se aplicaNão se aplicaNão se aplicaPonta",Mercado_Receita!$N$2:$N$352)</f>
        <v>106.65499999999999</v>
      </c>
      <c r="U2" s="13">
        <f t="shared" ref="U2:U38" si="0">SUM(I2:T2)</f>
        <v>1248.6389999999999</v>
      </c>
      <c r="V2" s="13"/>
      <c r="W2" s="13"/>
    </row>
    <row r="3" spans="1:30" ht="11.25" customHeight="1" x14ac:dyDescent="0.3">
      <c r="A3" s="74"/>
      <c r="B3" s="74"/>
      <c r="C3" s="74"/>
      <c r="D3" s="74"/>
      <c r="E3" s="74"/>
      <c r="F3" s="74"/>
      <c r="G3" s="13" t="s">
        <v>71</v>
      </c>
      <c r="H3" s="13" t="s">
        <v>69</v>
      </c>
      <c r="I3" s="13">
        <f>SUMIF(Mercado_Receita!$T$2:$T$352,"44440A4Energia horáriaNão se aplicaNão se aplicaNão se aplicaNão se aplicaFora ponta",Mercado_Receita!$N$2:$N$352)</f>
        <v>2491.163</v>
      </c>
      <c r="J3" s="13">
        <f>SUMIF(Mercado_Receita!$T$2:$T$352,"44470A4Energia horáriaNão se aplicaNão se aplicaNão se aplicaNão se aplicaFora ponta",Mercado_Receita!$N$2:$N$352)</f>
        <v>2445.4120000000003</v>
      </c>
      <c r="K3" s="13">
        <f>SUMIF(Mercado_Receita!$T$2:$T$352,"44501A4Energia horáriaNão se aplicaNão se aplicaNão se aplicaNão se aplicaFora ponta",Mercado_Receita!$N$2:$N$352)</f>
        <v>2462.1390000000001</v>
      </c>
      <c r="L3" s="13">
        <f>SUMIF(Mercado_Receita!$T$2:$T$352,"44531A4Energia horáriaNão se aplicaNão se aplicaNão se aplicaNão se aplicaFora ponta",Mercado_Receita!$N$2:$N$352)</f>
        <v>2167.3920000000003</v>
      </c>
      <c r="M3" s="13">
        <f>SUMIF(Mercado_Receita!$T$2:$T$352,"44562A4Energia horáriaNão se aplicaNão se aplicaNão se aplicaNão se aplicaFora ponta",Mercado_Receita!$N$2:$N$352)</f>
        <v>2285.3320000000003</v>
      </c>
      <c r="N3" s="13">
        <f>SUMIF(Mercado_Receita!$T$2:$T$352,"44593A4Energia horáriaNão se aplicaNão se aplicaNão se aplicaNão se aplicaFora ponta",Mercado_Receita!$N$2:$N$352)</f>
        <v>2174.2359999999999</v>
      </c>
      <c r="O3" s="13">
        <f>SUMIF(Mercado_Receita!$T$2:$T$352,"44621A4Energia horáriaNão se aplicaNão se aplicaNão se aplicaNão se aplicaFora ponta",Mercado_Receita!$N$2:$N$352)</f>
        <v>2673.6440000000002</v>
      </c>
      <c r="P3" s="13">
        <f>SUMIF(Mercado_Receita!$T$2:$T$352,"44652A4Energia horáriaNão se aplicaNão se aplicaNão se aplicaNão se aplicaFora ponta",Mercado_Receita!$N$2:$N$352)</f>
        <v>2380.1290000000004</v>
      </c>
      <c r="Q3" s="13">
        <f>SUMIF(Mercado_Receita!$T$2:$T$352,"44682A4Energia horáriaNão se aplicaNão se aplicaNão se aplicaNão se aplicaFora ponta",Mercado_Receita!$N$2:$N$352)</f>
        <v>2521.098</v>
      </c>
      <c r="R3" s="13">
        <f>SUMIF(Mercado_Receita!$T$2:$T$352,"44713A4Energia horáriaNão se aplicaNão se aplicaNão se aplicaNão se aplicaFora ponta",Mercado_Receita!$N$2:$N$352)</f>
        <v>2471.7799999999997</v>
      </c>
      <c r="S3" s="13">
        <f>SUMIF(Mercado_Receita!$T$2:$T$352,"44743A4Energia horáriaNão se aplicaNão se aplicaNão se aplicaNão se aplicaFora ponta",Mercado_Receita!$N$2:$N$352)</f>
        <v>2290.94</v>
      </c>
      <c r="T3" s="13">
        <f>SUMIF(Mercado_Receita!$T$2:$T$352,"44774A4Energia horáriaNão se aplicaNão se aplicaNão se aplicaNão se aplicaFora ponta",Mercado_Receita!$N$2:$N$352)</f>
        <v>2290.94</v>
      </c>
      <c r="U3" s="13">
        <f t="shared" si="0"/>
        <v>28654.205000000002</v>
      </c>
      <c r="V3" s="13"/>
      <c r="W3" s="13"/>
    </row>
    <row r="4" spans="1:30" ht="11.25" customHeight="1" x14ac:dyDescent="0.3">
      <c r="A4" s="73" t="s">
        <v>22</v>
      </c>
      <c r="B4" s="73" t="s">
        <v>68</v>
      </c>
      <c r="C4" s="73" t="s">
        <v>24</v>
      </c>
      <c r="D4" s="73" t="s">
        <v>24</v>
      </c>
      <c r="E4" s="73" t="s">
        <v>25</v>
      </c>
      <c r="F4" s="73" t="s">
        <v>25</v>
      </c>
      <c r="G4" s="13" t="s">
        <v>70</v>
      </c>
      <c r="H4" s="13" t="s">
        <v>69</v>
      </c>
      <c r="I4" s="13">
        <f>SUMIF(Mercado_Receita!$T$2:$T$352,"44440B1Energia horáriaResidencialResidencialNão se aplicaNão se aplicaPonta",Mercado_Receita!$N$2:$N$352)</f>
        <v>0</v>
      </c>
      <c r="J4" s="13">
        <f>SUMIF(Mercado_Receita!$T$2:$T$352,"44470B1Energia horáriaResidencialResidencialNão se aplicaNão se aplicaPonta",Mercado_Receita!$N$2:$N$352)</f>
        <v>0</v>
      </c>
      <c r="K4" s="13">
        <f>SUMIF(Mercado_Receita!$T$2:$T$352,"44501B1Energia horáriaResidencialResidencialNão se aplicaNão se aplicaPonta",Mercado_Receita!$N$2:$N$352)</f>
        <v>0</v>
      </c>
      <c r="L4" s="13">
        <f>SUMIF(Mercado_Receita!$T$2:$T$352,"44531B1Energia horáriaResidencialResidencialNão se aplicaNão se aplicaPonta",Mercado_Receita!$N$2:$N$352)</f>
        <v>0</v>
      </c>
      <c r="M4" s="13">
        <f>SUMIF(Mercado_Receita!$T$2:$T$352,"44562B1Energia horáriaResidencialResidencialNão se aplicaNão se aplicaPonta",Mercado_Receita!$N$2:$N$352)</f>
        <v>0</v>
      </c>
      <c r="N4" s="13">
        <f>SUMIF(Mercado_Receita!$T$2:$T$352,"44593B1Energia horáriaResidencialResidencialNão se aplicaNão se aplicaPonta",Mercado_Receita!$N$2:$N$352)</f>
        <v>0</v>
      </c>
      <c r="O4" s="13">
        <f>SUMIF(Mercado_Receita!$T$2:$T$352,"44621B1Energia horáriaResidencialResidencialNão se aplicaNão se aplicaPonta",Mercado_Receita!$N$2:$N$352)</f>
        <v>0</v>
      </c>
      <c r="P4" s="13">
        <f>SUMIF(Mercado_Receita!$T$2:$T$352,"44652B1Energia horáriaResidencialResidencialNão se aplicaNão se aplicaPonta",Mercado_Receita!$N$2:$N$352)</f>
        <v>0</v>
      </c>
      <c r="Q4" s="13">
        <f>SUMIF(Mercado_Receita!$T$2:$T$352,"44682B1Energia horáriaResidencialResidencialNão se aplicaNão se aplicaPonta",Mercado_Receita!$N$2:$N$352)</f>
        <v>0</v>
      </c>
      <c r="R4" s="13">
        <f>SUMIF(Mercado_Receita!$T$2:$T$352,"44713B1Energia horáriaResidencialResidencialNão se aplicaNão se aplicaPonta",Mercado_Receita!$N$2:$N$352)</f>
        <v>0</v>
      </c>
      <c r="S4" s="13">
        <f>SUMIF(Mercado_Receita!$T$2:$T$352,"44743B1Energia horáriaResidencialResidencialNão se aplicaNão se aplicaPonta",Mercado_Receita!$N$2:$N$352)</f>
        <v>0</v>
      </c>
      <c r="T4" s="13">
        <f>SUMIF(Mercado_Receita!$T$2:$T$352,"44774B1Energia horáriaResidencialResidencialNão se aplicaNão se aplicaPonta",Mercado_Receita!$N$2:$N$352)</f>
        <v>0</v>
      </c>
      <c r="U4" s="13">
        <f t="shared" si="0"/>
        <v>0</v>
      </c>
      <c r="V4" s="13"/>
      <c r="W4" s="13"/>
    </row>
    <row r="5" spans="1:30" ht="11.25" customHeight="1" x14ac:dyDescent="0.3">
      <c r="A5" s="74"/>
      <c r="B5" s="74"/>
      <c r="C5" s="74"/>
      <c r="D5" s="74"/>
      <c r="E5" s="74"/>
      <c r="F5" s="74"/>
      <c r="G5" s="13" t="s">
        <v>81</v>
      </c>
      <c r="H5" s="13" t="s">
        <v>69</v>
      </c>
      <c r="I5" s="13">
        <f>SUMIF(Mercado_Receita!$T$2:$T$352,"44440B1Energia horáriaResidencialResidencialNão se aplicaNão se aplicaIntermediário",Mercado_Receita!$N$2:$N$352)</f>
        <v>0</v>
      </c>
      <c r="J5" s="13">
        <f>SUMIF(Mercado_Receita!$T$2:$T$352,"44470B1Energia horáriaResidencialResidencialNão se aplicaNão se aplicaIntermediário",Mercado_Receita!$N$2:$N$352)</f>
        <v>0</v>
      </c>
      <c r="K5" s="13">
        <f>SUMIF(Mercado_Receita!$T$2:$T$352,"44501B1Energia horáriaResidencialResidencialNão se aplicaNão se aplicaIntermediário",Mercado_Receita!$N$2:$N$352)</f>
        <v>0</v>
      </c>
      <c r="L5" s="13">
        <f>SUMIF(Mercado_Receita!$T$2:$T$352,"44531B1Energia horáriaResidencialResidencialNão se aplicaNão se aplicaIntermediário",Mercado_Receita!$N$2:$N$352)</f>
        <v>0</v>
      </c>
      <c r="M5" s="13">
        <f>SUMIF(Mercado_Receita!$T$2:$T$352,"44562B1Energia horáriaResidencialResidencialNão se aplicaNão se aplicaIntermediário",Mercado_Receita!$N$2:$N$352)</f>
        <v>0</v>
      </c>
      <c r="N5" s="13">
        <f>SUMIF(Mercado_Receita!$T$2:$T$352,"44593B1Energia horáriaResidencialResidencialNão se aplicaNão se aplicaIntermediário",Mercado_Receita!$N$2:$N$352)</f>
        <v>0</v>
      </c>
      <c r="O5" s="13">
        <f>SUMIF(Mercado_Receita!$T$2:$T$352,"44621B1Energia horáriaResidencialResidencialNão se aplicaNão se aplicaIntermediário",Mercado_Receita!$N$2:$N$352)</f>
        <v>0</v>
      </c>
      <c r="P5" s="13">
        <f>SUMIF(Mercado_Receita!$T$2:$T$352,"44652B1Energia horáriaResidencialResidencialNão se aplicaNão se aplicaIntermediário",Mercado_Receita!$N$2:$N$352)</f>
        <v>0</v>
      </c>
      <c r="Q5" s="13">
        <f>SUMIF(Mercado_Receita!$T$2:$T$352,"44682B1Energia horáriaResidencialResidencialNão se aplicaNão se aplicaIntermediário",Mercado_Receita!$N$2:$N$352)</f>
        <v>0</v>
      </c>
      <c r="R5" s="13">
        <f>SUMIF(Mercado_Receita!$T$2:$T$352,"44713B1Energia horáriaResidencialResidencialNão se aplicaNão se aplicaIntermediário",Mercado_Receita!$N$2:$N$352)</f>
        <v>0</v>
      </c>
      <c r="S5" s="13">
        <f>SUMIF(Mercado_Receita!$T$2:$T$352,"44743B1Energia horáriaResidencialResidencialNão se aplicaNão se aplicaIntermediário",Mercado_Receita!$N$2:$N$352)</f>
        <v>0</v>
      </c>
      <c r="T5" s="13">
        <f>SUMIF(Mercado_Receita!$T$2:$T$352,"44774B1Energia horáriaResidencialResidencialNão se aplicaNão se aplicaIntermediário",Mercado_Receita!$N$2:$N$352)</f>
        <v>0</v>
      </c>
      <c r="U5" s="13">
        <f t="shared" si="0"/>
        <v>0</v>
      </c>
      <c r="V5" s="13"/>
      <c r="W5" s="13"/>
    </row>
    <row r="6" spans="1:30" ht="11.25" customHeight="1" x14ac:dyDescent="0.3">
      <c r="A6" s="74"/>
      <c r="B6" s="74"/>
      <c r="C6" s="74"/>
      <c r="D6" s="74"/>
      <c r="E6" s="74"/>
      <c r="F6" s="74"/>
      <c r="G6" s="13" t="s">
        <v>71</v>
      </c>
      <c r="H6" s="13" t="s">
        <v>69</v>
      </c>
      <c r="I6" s="13">
        <f>SUMIF(Mercado_Receita!$T$2:$T$352,"44440B1Energia horáriaResidencialResidencialNão se aplicaNão se aplicaFora ponta",Mercado_Receita!$N$2:$N$352)</f>
        <v>0</v>
      </c>
      <c r="J6" s="13">
        <f>SUMIF(Mercado_Receita!$T$2:$T$352,"44470B1Energia horáriaResidencialResidencialNão se aplicaNão se aplicaFora ponta",Mercado_Receita!$N$2:$N$352)</f>
        <v>0</v>
      </c>
      <c r="K6" s="13">
        <f>SUMIF(Mercado_Receita!$T$2:$T$352,"44501B1Energia horáriaResidencialResidencialNão se aplicaNão se aplicaFora ponta",Mercado_Receita!$N$2:$N$352)</f>
        <v>0</v>
      </c>
      <c r="L6" s="13">
        <f>SUMIF(Mercado_Receita!$T$2:$T$352,"44531B1Energia horáriaResidencialResidencialNão se aplicaNão se aplicaFora ponta",Mercado_Receita!$N$2:$N$352)</f>
        <v>0</v>
      </c>
      <c r="M6" s="13">
        <f>SUMIF(Mercado_Receita!$T$2:$T$352,"44562B1Energia horáriaResidencialResidencialNão se aplicaNão se aplicaFora ponta",Mercado_Receita!$N$2:$N$352)</f>
        <v>0</v>
      </c>
      <c r="N6" s="13">
        <f>SUMIF(Mercado_Receita!$T$2:$T$352,"44593B1Energia horáriaResidencialResidencialNão se aplicaNão se aplicaFora ponta",Mercado_Receita!$N$2:$N$352)</f>
        <v>0</v>
      </c>
      <c r="O6" s="13">
        <f>SUMIF(Mercado_Receita!$T$2:$T$352,"44621B1Energia horáriaResidencialResidencialNão se aplicaNão se aplicaFora ponta",Mercado_Receita!$N$2:$N$352)</f>
        <v>0</v>
      </c>
      <c r="P6" s="13">
        <f>SUMIF(Mercado_Receita!$T$2:$T$352,"44652B1Energia horáriaResidencialResidencialNão se aplicaNão se aplicaFora ponta",Mercado_Receita!$N$2:$N$352)</f>
        <v>0</v>
      </c>
      <c r="Q6" s="13">
        <f>SUMIF(Mercado_Receita!$T$2:$T$352,"44682B1Energia horáriaResidencialResidencialNão se aplicaNão se aplicaFora ponta",Mercado_Receita!$N$2:$N$352)</f>
        <v>0</v>
      </c>
      <c r="R6" s="13">
        <f>SUMIF(Mercado_Receita!$T$2:$T$352,"44713B1Energia horáriaResidencialResidencialNão se aplicaNão se aplicaFora ponta",Mercado_Receita!$N$2:$N$352)</f>
        <v>0</v>
      </c>
      <c r="S6" s="13">
        <f>SUMIF(Mercado_Receita!$T$2:$T$352,"44743B1Energia horáriaResidencialResidencialNão se aplicaNão se aplicaFora ponta",Mercado_Receita!$N$2:$N$352)</f>
        <v>0</v>
      </c>
      <c r="T6" s="13">
        <f>SUMIF(Mercado_Receita!$T$2:$T$352,"44774B1Energia horáriaResidencialResidencialNão se aplicaNão se aplicaFora ponta",Mercado_Receita!$N$2:$N$352)</f>
        <v>0</v>
      </c>
      <c r="U6" s="13">
        <f t="shared" si="0"/>
        <v>0</v>
      </c>
      <c r="V6" s="13"/>
      <c r="W6" s="13"/>
    </row>
    <row r="7" spans="1:30" ht="11.25" customHeight="1" x14ac:dyDescent="0.3">
      <c r="A7" s="74"/>
      <c r="B7" s="73" t="s">
        <v>82</v>
      </c>
      <c r="C7" s="73" t="s">
        <v>24</v>
      </c>
      <c r="D7" s="12" t="s">
        <v>24</v>
      </c>
      <c r="E7" s="12" t="s">
        <v>25</v>
      </c>
      <c r="F7" s="12" t="s">
        <v>25</v>
      </c>
      <c r="G7" s="13" t="s">
        <v>75</v>
      </c>
      <c r="H7" s="13" t="s">
        <v>69</v>
      </c>
      <c r="I7" s="13">
        <f>SUMIF(Mercado_Receita!$T$2:$T$352,"44440B1Energia convencionalResidencialResidencialNão se aplicaNão se aplicaNão se aplica",Mercado_Receita!$N$2:$N$352)</f>
        <v>486.66800000000001</v>
      </c>
      <c r="J7" s="13">
        <f>SUMIF(Mercado_Receita!$T$2:$T$352,"44470B1Energia convencionalResidencialResidencialNão se aplicaNão se aplicaNão se aplica",Mercado_Receita!$N$2:$N$352)</f>
        <v>534.678</v>
      </c>
      <c r="K7" s="13">
        <f>SUMIF(Mercado_Receita!$T$2:$T$352,"44501B1Energia convencionalResidencialResidencialNão se aplicaNão se aplicaNão se aplica",Mercado_Receita!$N$2:$N$352)</f>
        <v>508.20299999999997</v>
      </c>
      <c r="L7" s="13">
        <f>SUMIF(Mercado_Receita!$T$2:$T$352,"44531B1Energia convencionalResidencialResidencialNão se aplicaNão se aplicaNão se aplica",Mercado_Receita!$N$2:$N$352)</f>
        <v>500.95699999999994</v>
      </c>
      <c r="M7" s="13">
        <f>SUMIF(Mercado_Receita!$T$2:$T$352,"44562B1Energia convencionalResidencialResidencialNão se aplicaNão se aplicaNão se aplica",Mercado_Receita!$N$2:$N$352)</f>
        <v>573.04999999999995</v>
      </c>
      <c r="N7" s="13">
        <f>SUMIF(Mercado_Receita!$T$2:$T$352,"44593B1Energia convencionalResidencialResidencialNão se aplicaNão se aplicaNão se aplica",Mercado_Receita!$N$2:$N$352)</f>
        <v>667.96100000000001</v>
      </c>
      <c r="O7" s="13">
        <f>SUMIF(Mercado_Receita!$T$2:$T$352,"44621B1Energia convencionalResidencialResidencialNão se aplicaNão se aplicaNão se aplica",Mercado_Receita!$N$2:$N$352)</f>
        <v>592.17200000000003</v>
      </c>
      <c r="P7" s="13">
        <f>SUMIF(Mercado_Receita!$T$2:$T$352,"44652B1Energia convencionalResidencialResidencialNão se aplicaNão se aplicaNão se aplica",Mercado_Receita!$N$2:$N$352)</f>
        <v>522.36900000000014</v>
      </c>
      <c r="Q7" s="13">
        <f>SUMIF(Mercado_Receita!$T$2:$T$352,"44682B1Energia convencionalResidencialResidencialNão se aplicaNão se aplicaNão se aplica",Mercado_Receita!$N$2:$N$352)</f>
        <v>488.16800000000001</v>
      </c>
      <c r="R7" s="13">
        <f>SUMIF(Mercado_Receita!$T$2:$T$352,"44713B1Energia convencionalResidencialResidencialNão se aplicaNão se aplicaNão se aplica",Mercado_Receita!$N$2:$N$352)</f>
        <v>574.32800000000009</v>
      </c>
      <c r="S7" s="13">
        <f>SUMIF(Mercado_Receita!$T$2:$T$352,"44743B1Energia convencionalResidencialResidencialNão se aplicaNão se aplicaNão se aplica",Mercado_Receita!$N$2:$N$352)</f>
        <v>588.83100000000002</v>
      </c>
      <c r="T7" s="13">
        <f>SUMIF(Mercado_Receita!$T$2:$T$352,"44774B1Energia convencionalResidencialResidencialNão se aplicaNão se aplicaNão se aplica",Mercado_Receita!$N$2:$N$352)</f>
        <v>588.83100000000002</v>
      </c>
      <c r="U7" s="13">
        <f t="shared" si="0"/>
        <v>6626.2160000000003</v>
      </c>
      <c r="V7" s="13"/>
      <c r="W7" s="13"/>
    </row>
    <row r="8" spans="1:30" ht="11.25" customHeight="1" x14ac:dyDescent="0.3">
      <c r="A8" s="74"/>
      <c r="B8" s="74"/>
      <c r="C8" s="74"/>
      <c r="D8" s="12" t="s">
        <v>29</v>
      </c>
      <c r="E8" s="12" t="s">
        <v>25</v>
      </c>
      <c r="F8" s="12" t="s">
        <v>25</v>
      </c>
      <c r="G8" s="13" t="s">
        <v>75</v>
      </c>
      <c r="H8" s="13" t="s">
        <v>69</v>
      </c>
      <c r="I8" s="13">
        <f>SUMIF(Mercado_Receita!$T$2:$T$352,"44440B1Energia convencionalResidencialResidencial baixa renda – faixa 01Não se aplicaNão se aplicaNão se aplica",Mercado_Receita!$N$2:$N$352)</f>
        <v>3.93</v>
      </c>
      <c r="J8" s="13">
        <f>SUMIF(Mercado_Receita!$T$2:$T$352,"44470B1Energia convencionalResidencialResidencial baixa renda – faixa 01Não se aplicaNão se aplicaNão se aplica",Mercado_Receita!$N$2:$N$352)</f>
        <v>4.05</v>
      </c>
      <c r="K8" s="13">
        <f>SUMIF(Mercado_Receita!$T$2:$T$352,"44501B1Energia convencionalResidencialResidencial baixa renda – faixa 01Não se aplicaNão se aplicaNão se aplica",Mercado_Receita!$N$2:$N$352)</f>
        <v>4.08</v>
      </c>
      <c r="L8" s="13">
        <f>SUMIF(Mercado_Receita!$T$2:$T$352,"44531B1Energia convencionalResidencialResidencial baixa renda – faixa 01Não se aplicaNão se aplicaNão se aplica",Mercado_Receita!$N$2:$N$352)</f>
        <v>4.17</v>
      </c>
      <c r="M8" s="13">
        <f>SUMIF(Mercado_Receita!$T$2:$T$352,"44562B1Energia convencionalResidencialResidencial baixa renda – faixa 01Não se aplicaNão se aplicaNão se aplica",Mercado_Receita!$N$2:$N$352)</f>
        <v>4.2300000000000004</v>
      </c>
      <c r="N8" s="13">
        <f>SUMIF(Mercado_Receita!$T$2:$T$352,"44593B1Energia convencionalResidencialResidencial baixa renda – faixa 01Não se aplicaNão se aplicaNão se aplica",Mercado_Receita!$N$2:$N$352)</f>
        <v>4.41</v>
      </c>
      <c r="O8" s="13">
        <f>SUMIF(Mercado_Receita!$T$2:$T$352,"44621B1Energia convencionalResidencialResidencial baixa renda – faixa 01Não se aplicaNão se aplicaNão se aplica",Mercado_Receita!$N$2:$N$352)</f>
        <v>4.5600000000000005</v>
      </c>
      <c r="P8" s="13">
        <f>SUMIF(Mercado_Receita!$T$2:$T$352,"44652B1Energia convencionalResidencialResidencial baixa renda – faixa 01Não se aplicaNão se aplicaNão se aplica",Mercado_Receita!$N$2:$N$352)</f>
        <v>5.19</v>
      </c>
      <c r="Q8" s="13">
        <f>SUMIF(Mercado_Receita!$T$2:$T$352,"44682B1Energia convencionalResidencialResidencial baixa renda – faixa 01Não se aplicaNão se aplicaNão se aplica",Mercado_Receita!$N$2:$N$352)</f>
        <v>5.58</v>
      </c>
      <c r="R8" s="13">
        <f>SUMIF(Mercado_Receita!$T$2:$T$352,"44713B1Energia convencionalResidencialResidencial baixa renda – faixa 01Não se aplicaNão se aplicaNão se aplica",Mercado_Receita!$N$2:$N$352)</f>
        <v>5.58</v>
      </c>
      <c r="S8" s="13">
        <f>SUMIF(Mercado_Receita!$T$2:$T$352,"44743B1Energia convencionalResidencialResidencial baixa renda – faixa 01Não se aplicaNão se aplicaNão se aplica",Mercado_Receita!$N$2:$N$352)</f>
        <v>5.52</v>
      </c>
      <c r="T8" s="13">
        <f>SUMIF(Mercado_Receita!$T$2:$T$352,"44774B1Energia convencionalResidencialResidencial baixa renda – faixa 01Não se aplicaNão se aplicaNão se aplica",Mercado_Receita!$N$2:$N$352)</f>
        <v>5.52</v>
      </c>
      <c r="U8" s="13">
        <f t="shared" si="0"/>
        <v>56.819999999999993</v>
      </c>
      <c r="V8" s="13"/>
      <c r="W8" s="13"/>
    </row>
    <row r="9" spans="1:30" ht="11.25" customHeight="1" x14ac:dyDescent="0.3">
      <c r="A9" s="74"/>
      <c r="B9" s="74"/>
      <c r="C9" s="74"/>
      <c r="D9" s="12" t="s">
        <v>30</v>
      </c>
      <c r="E9" s="12" t="s">
        <v>25</v>
      </c>
      <c r="F9" s="12" t="s">
        <v>25</v>
      </c>
      <c r="G9" s="13" t="s">
        <v>75</v>
      </c>
      <c r="H9" s="13" t="s">
        <v>69</v>
      </c>
      <c r="I9" s="13">
        <f>SUMIF(Mercado_Receita!$T$2:$T$352,"44440B1Energia convencionalResidencialResidencial baixa renda – faixa 02Não se aplicaNão se aplicaNão se aplica",Mercado_Receita!$N$2:$N$352)</f>
        <v>7.4210000000000003</v>
      </c>
      <c r="J9" s="13">
        <f>SUMIF(Mercado_Receita!$T$2:$T$352,"44470B1Energia convencionalResidencialResidencial baixa renda – faixa 02Não se aplicaNão se aplicaNão se aplica",Mercado_Receita!$N$2:$N$352)</f>
        <v>8.0079999999999991</v>
      </c>
      <c r="K9" s="13">
        <f>SUMIF(Mercado_Receita!$T$2:$T$352,"44501B1Energia convencionalResidencialResidencial baixa renda – faixa 02Não se aplicaNão se aplicaNão se aplica",Mercado_Receita!$N$2:$N$352)</f>
        <v>8.048</v>
      </c>
      <c r="L9" s="13">
        <f>SUMIF(Mercado_Receita!$T$2:$T$352,"44531B1Energia convencionalResidencialResidencial baixa renda – faixa 02Não se aplicaNão se aplicaNão se aplica",Mercado_Receita!$N$2:$N$352)</f>
        <v>8.4770000000000003</v>
      </c>
      <c r="M9" s="13">
        <f>SUMIF(Mercado_Receita!$T$2:$T$352,"44562B1Energia convencionalResidencialResidencial baixa renda – faixa 02Não se aplicaNão se aplicaNão se aplica",Mercado_Receita!$N$2:$N$352)</f>
        <v>8.7029999999999994</v>
      </c>
      <c r="N9" s="13">
        <f>SUMIF(Mercado_Receita!$T$2:$T$352,"44593B1Energia convencionalResidencialResidencial baixa renda – faixa 02Não se aplicaNão se aplicaNão se aplica",Mercado_Receita!$N$2:$N$352)</f>
        <v>9.3819999999999997</v>
      </c>
      <c r="O9" s="13">
        <f>SUMIF(Mercado_Receita!$T$2:$T$352,"44621B1Energia convencionalResidencialResidencial baixa renda – faixa 02Não se aplicaNão se aplicaNão se aplica",Mercado_Receita!$N$2:$N$352)</f>
        <v>9.468</v>
      </c>
      <c r="P9" s="13">
        <f>SUMIF(Mercado_Receita!$T$2:$T$352,"44652B1Energia convencionalResidencialResidencial baixa renda – faixa 02Não se aplicaNão se aplicaNão se aplica",Mercado_Receita!$N$2:$N$352)</f>
        <v>10.208</v>
      </c>
      <c r="Q9" s="13">
        <f>SUMIF(Mercado_Receita!$T$2:$T$352,"44682B1Energia convencionalResidencialResidencial baixa renda – faixa 02Não se aplicaNão se aplicaNão se aplica",Mercado_Receita!$N$2:$N$352)</f>
        <v>11.129</v>
      </c>
      <c r="R9" s="13">
        <f>SUMIF(Mercado_Receita!$T$2:$T$352,"44713B1Energia convencionalResidencialResidencial baixa renda – faixa 02Não se aplicaNão se aplicaNão se aplica",Mercado_Receita!$N$2:$N$352)</f>
        <v>11.378</v>
      </c>
      <c r="S9" s="13">
        <f>SUMIF(Mercado_Receita!$T$2:$T$352,"44743B1Energia convencionalResidencialResidencial baixa renda – faixa 02Não se aplicaNão se aplicaNão se aplica",Mercado_Receita!$N$2:$N$352)</f>
        <v>11.169</v>
      </c>
      <c r="T9" s="13">
        <f>SUMIF(Mercado_Receita!$T$2:$T$352,"44774B1Energia convencionalResidencialResidencial baixa renda – faixa 02Não se aplicaNão se aplicaNão se aplica",Mercado_Receita!$N$2:$N$352)</f>
        <v>11.169</v>
      </c>
      <c r="U9" s="13">
        <f t="shared" si="0"/>
        <v>114.55999999999999</v>
      </c>
      <c r="V9" s="13"/>
      <c r="W9" s="13"/>
    </row>
    <row r="10" spans="1:30" ht="11.25" customHeight="1" x14ac:dyDescent="0.3">
      <c r="A10" s="74"/>
      <c r="B10" s="74"/>
      <c r="C10" s="74"/>
      <c r="D10" s="12" t="s">
        <v>31</v>
      </c>
      <c r="E10" s="12" t="s">
        <v>25</v>
      </c>
      <c r="F10" s="12" t="s">
        <v>25</v>
      </c>
      <c r="G10" s="13" t="s">
        <v>75</v>
      </c>
      <c r="H10" s="13" t="s">
        <v>69</v>
      </c>
      <c r="I10" s="13">
        <f>SUMIF(Mercado_Receita!$T$2:$T$352,"44440B1Energia convencionalResidencialResidencial baixa renda – faixa 03Não se aplicaNão se aplicaNão se aplica",Mercado_Receita!$N$2:$N$352)</f>
        <v>6.57</v>
      </c>
      <c r="J10" s="13">
        <f>SUMIF(Mercado_Receita!$T$2:$T$352,"44470B1Energia convencionalResidencialResidencial baixa renda – faixa 03Não se aplicaNão se aplicaNão se aplica",Mercado_Receita!$N$2:$N$352)</f>
        <v>8.2279999999999998</v>
      </c>
      <c r="K10" s="13">
        <f>SUMIF(Mercado_Receita!$T$2:$T$352,"44501B1Energia convencionalResidencialResidencial baixa renda – faixa 03Não se aplicaNão se aplicaNão se aplica",Mercado_Receita!$N$2:$N$352)</f>
        <v>7.726</v>
      </c>
      <c r="L10" s="13">
        <f>SUMIF(Mercado_Receita!$T$2:$T$352,"44531B1Energia convencionalResidencialResidencial baixa renda – faixa 03Não se aplicaNão se aplicaNão se aplica",Mercado_Receita!$N$2:$N$352)</f>
        <v>7.9729999999999999</v>
      </c>
      <c r="M10" s="13">
        <f>SUMIF(Mercado_Receita!$T$2:$T$352,"44562B1Energia convencionalResidencialResidencial baixa renda – faixa 03Não se aplicaNão se aplicaNão se aplica",Mercado_Receita!$N$2:$N$352)</f>
        <v>9.3420000000000005</v>
      </c>
      <c r="N10" s="13">
        <f>SUMIF(Mercado_Receita!$T$2:$T$352,"44593B1Energia convencionalResidencialResidencial baixa renda – faixa 03Não se aplicaNão se aplicaNão se aplica",Mercado_Receita!$N$2:$N$352)</f>
        <v>11.077</v>
      </c>
      <c r="O10" s="13">
        <f>SUMIF(Mercado_Receita!$T$2:$T$352,"44621B1Energia convencionalResidencialResidencial baixa renda – faixa 03Não se aplicaNão se aplicaNão se aplica",Mercado_Receita!$N$2:$N$352)</f>
        <v>9.86</v>
      </c>
      <c r="P10" s="13">
        <f>SUMIF(Mercado_Receita!$T$2:$T$352,"44652B1Energia convencionalResidencialResidencial baixa renda – faixa 03Não se aplicaNão se aplicaNão se aplica",Mercado_Receita!$N$2:$N$352)</f>
        <v>10.356999999999999</v>
      </c>
      <c r="Q10" s="13">
        <f>SUMIF(Mercado_Receita!$T$2:$T$352,"44682B1Energia convencionalResidencialResidencial baixa renda – faixa 03Não se aplicaNão se aplicaNão se aplica",Mercado_Receita!$N$2:$N$352)</f>
        <v>10.95</v>
      </c>
      <c r="R10" s="13">
        <f>SUMIF(Mercado_Receita!$T$2:$T$352,"44713B1Energia convencionalResidencialResidencial baixa renda – faixa 03Não se aplicaNão se aplicaNão se aplica",Mercado_Receita!$N$2:$N$352)</f>
        <v>12.487</v>
      </c>
      <c r="S10" s="13">
        <f>SUMIF(Mercado_Receita!$T$2:$T$352,"44743B1Energia convencionalResidencialResidencial baixa renda – faixa 03Não se aplicaNão se aplicaNão se aplica",Mercado_Receita!$N$2:$N$352)</f>
        <v>10.829000000000001</v>
      </c>
      <c r="T10" s="13">
        <f>SUMIF(Mercado_Receita!$T$2:$T$352,"44774B1Energia convencionalResidencialResidencial baixa renda – faixa 03Não se aplicaNão se aplicaNão se aplica",Mercado_Receita!$N$2:$N$352)</f>
        <v>10.829000000000001</v>
      </c>
      <c r="U10" s="13">
        <f t="shared" si="0"/>
        <v>116.22800000000001</v>
      </c>
      <c r="V10" s="13"/>
      <c r="W10" s="13"/>
    </row>
    <row r="11" spans="1:30" ht="11.25" customHeight="1" x14ac:dyDescent="0.3">
      <c r="A11" s="74"/>
      <c r="B11" s="74"/>
      <c r="C11" s="74"/>
      <c r="D11" s="12" t="s">
        <v>32</v>
      </c>
      <c r="E11" s="12" t="s">
        <v>25</v>
      </c>
      <c r="F11" s="12" t="s">
        <v>25</v>
      </c>
      <c r="G11" s="13" t="s">
        <v>75</v>
      </c>
      <c r="H11" s="13" t="s">
        <v>69</v>
      </c>
      <c r="I11" s="13">
        <f>SUMIF(Mercado_Receita!$T$2:$T$352,"44440B1Energia convencionalResidencialResidencial baixa renda – faixa 04Não se aplicaNão se aplicaNão se aplica",Mercado_Receita!$N$2:$N$352)</f>
        <v>1.62</v>
      </c>
      <c r="J11" s="13">
        <f>SUMIF(Mercado_Receita!$T$2:$T$352,"44470B1Energia convencionalResidencialResidencial baixa renda – faixa 04Não se aplicaNão se aplicaNão se aplica",Mercado_Receita!$N$2:$N$352)</f>
        <v>2.931</v>
      </c>
      <c r="K11" s="13">
        <f>SUMIF(Mercado_Receita!$T$2:$T$352,"44501B1Energia convencionalResidencialResidencial baixa renda – faixa 04Não se aplicaNão se aplicaNão se aplica",Mercado_Receita!$N$2:$N$352)</f>
        <v>2.2109999999999999</v>
      </c>
      <c r="L11" s="13">
        <f>SUMIF(Mercado_Receita!$T$2:$T$352,"44531B1Energia convencionalResidencialResidencial baixa renda – faixa 04Não se aplicaNão se aplicaNão se aplica",Mercado_Receita!$N$2:$N$352)</f>
        <v>2.2970000000000002</v>
      </c>
      <c r="M11" s="13">
        <f>SUMIF(Mercado_Receita!$T$2:$T$352,"44562B1Energia convencionalResidencialResidencial baixa renda – faixa 04Não se aplicaNão se aplicaNão se aplica",Mercado_Receita!$N$2:$N$352)</f>
        <v>4.3019999999999996</v>
      </c>
      <c r="N11" s="13">
        <f>SUMIF(Mercado_Receita!$T$2:$T$352,"44593B1Energia convencionalResidencialResidencial baixa renda – faixa 04Não se aplicaNão se aplicaNão se aplica",Mercado_Receita!$N$2:$N$352)</f>
        <v>7.4379999999999997</v>
      </c>
      <c r="O11" s="13">
        <f>SUMIF(Mercado_Receita!$T$2:$T$352,"44621B1Energia convencionalResidencialResidencial baixa renda – faixa 04Não se aplicaNão se aplicaNão se aplica",Mercado_Receita!$N$2:$N$352)</f>
        <v>5.5119999999999996</v>
      </c>
      <c r="P11" s="13">
        <f>SUMIF(Mercado_Receita!$T$2:$T$352,"44652B1Energia convencionalResidencialResidencial baixa renda – faixa 04Não se aplicaNão se aplicaNão se aplica",Mercado_Receita!$N$2:$N$352)</f>
        <v>3.56</v>
      </c>
      <c r="Q11" s="13">
        <f>SUMIF(Mercado_Receita!$T$2:$T$352,"44682B1Energia convencionalResidencialResidencial baixa renda – faixa 04Não se aplicaNão se aplicaNão se aplica",Mercado_Receita!$N$2:$N$352)</f>
        <v>2.9620000000000002</v>
      </c>
      <c r="R11" s="13">
        <f>SUMIF(Mercado_Receita!$T$2:$T$352,"44713B1Energia convencionalResidencialResidencial baixa renda – faixa 04Não se aplicaNão se aplicaNão se aplica",Mercado_Receita!$N$2:$N$352)</f>
        <v>6.2949999999999999</v>
      </c>
      <c r="S11" s="13">
        <f>SUMIF(Mercado_Receita!$T$2:$T$352,"44743B1Energia convencionalResidencialResidencial baixa renda – faixa 04Não se aplicaNão se aplicaNão se aplica",Mercado_Receita!$N$2:$N$352)</f>
        <v>3.0920000000000001</v>
      </c>
      <c r="T11" s="13">
        <f>SUMIF(Mercado_Receita!$T$2:$T$352,"44774B1Energia convencionalResidencialResidencial baixa renda – faixa 04Não se aplicaNão se aplicaNão se aplica",Mercado_Receita!$N$2:$N$352)</f>
        <v>3.0920000000000001</v>
      </c>
      <c r="U11" s="13">
        <f t="shared" si="0"/>
        <v>45.311999999999998</v>
      </c>
      <c r="V11" s="13"/>
      <c r="W11" s="13"/>
    </row>
    <row r="12" spans="1:30" ht="11.25" customHeight="1" x14ac:dyDescent="0.3">
      <c r="A12" s="74"/>
      <c r="B12" s="73" t="s">
        <v>83</v>
      </c>
      <c r="C12" s="73" t="s">
        <v>24</v>
      </c>
      <c r="D12" s="12" t="s">
        <v>24</v>
      </c>
      <c r="E12" s="12" t="s">
        <v>25</v>
      </c>
      <c r="F12" s="12" t="s">
        <v>25</v>
      </c>
      <c r="G12" s="13" t="s">
        <v>75</v>
      </c>
      <c r="H12" s="13" t="s">
        <v>69</v>
      </c>
      <c r="I12" s="13">
        <f>SUMIF(Mercado_Receita!$T$2:$T$352,"44440B1Energia convencional pré-pagamentoResidencialResidencialNão se aplicaNão se aplicaNão se aplica",Mercado_Receita!$N$2:$N$352)</f>
        <v>0</v>
      </c>
      <c r="J12" s="13">
        <f>SUMIF(Mercado_Receita!$T$2:$T$352,"44470B1Energia convencional pré-pagamentoResidencialResidencialNão se aplicaNão se aplicaNão se aplica",Mercado_Receita!$N$2:$N$352)</f>
        <v>0</v>
      </c>
      <c r="K12" s="13">
        <f>SUMIF(Mercado_Receita!$T$2:$T$352,"44501B1Energia convencional pré-pagamentoResidencialResidencialNão se aplicaNão se aplicaNão se aplica",Mercado_Receita!$N$2:$N$352)</f>
        <v>0</v>
      </c>
      <c r="L12" s="13">
        <f>SUMIF(Mercado_Receita!$T$2:$T$352,"44531B1Energia convencional pré-pagamentoResidencialResidencialNão se aplicaNão se aplicaNão se aplica",Mercado_Receita!$N$2:$N$352)</f>
        <v>0</v>
      </c>
      <c r="M12" s="13">
        <f>SUMIF(Mercado_Receita!$T$2:$T$352,"44562B1Energia convencional pré-pagamentoResidencialResidencialNão se aplicaNão se aplicaNão se aplica",Mercado_Receita!$N$2:$N$352)</f>
        <v>0</v>
      </c>
      <c r="N12" s="13">
        <f>SUMIF(Mercado_Receita!$T$2:$T$352,"44593B1Energia convencional pré-pagamentoResidencialResidencialNão se aplicaNão se aplicaNão se aplica",Mercado_Receita!$N$2:$N$352)</f>
        <v>0</v>
      </c>
      <c r="O12" s="13">
        <f>SUMIF(Mercado_Receita!$T$2:$T$352,"44621B1Energia convencional pré-pagamentoResidencialResidencialNão se aplicaNão se aplicaNão se aplica",Mercado_Receita!$N$2:$N$352)</f>
        <v>0</v>
      </c>
      <c r="P12" s="13">
        <f>SUMIF(Mercado_Receita!$T$2:$T$352,"44652B1Energia convencional pré-pagamentoResidencialResidencialNão se aplicaNão se aplicaNão se aplica",Mercado_Receita!$N$2:$N$352)</f>
        <v>0</v>
      </c>
      <c r="Q12" s="13">
        <f>SUMIF(Mercado_Receita!$T$2:$T$352,"44682B1Energia convencional pré-pagamentoResidencialResidencialNão se aplicaNão se aplicaNão se aplica",Mercado_Receita!$N$2:$N$352)</f>
        <v>0</v>
      </c>
      <c r="R12" s="13">
        <f>SUMIF(Mercado_Receita!$T$2:$T$352,"44713B1Energia convencional pré-pagamentoResidencialResidencialNão se aplicaNão se aplicaNão se aplica",Mercado_Receita!$N$2:$N$352)</f>
        <v>0</v>
      </c>
      <c r="S12" s="13">
        <f>SUMIF(Mercado_Receita!$T$2:$T$352,"44743B1Energia convencional pré-pagamentoResidencialResidencialNão se aplicaNão se aplicaNão se aplica",Mercado_Receita!$N$2:$N$352)</f>
        <v>0</v>
      </c>
      <c r="T12" s="13">
        <f>SUMIF(Mercado_Receita!$T$2:$T$352,"44774B1Energia convencional pré-pagamentoResidencialResidencialNão se aplicaNão se aplicaNão se aplica",Mercado_Receita!$N$2:$N$352)</f>
        <v>0</v>
      </c>
      <c r="U12" s="13">
        <f t="shared" si="0"/>
        <v>0</v>
      </c>
      <c r="V12" s="13"/>
      <c r="W12" s="13"/>
    </row>
    <row r="13" spans="1:30" ht="11.25" customHeight="1" x14ac:dyDescent="0.3">
      <c r="A13" s="74"/>
      <c r="B13" s="74"/>
      <c r="C13" s="74"/>
      <c r="D13" s="12" t="s">
        <v>29</v>
      </c>
      <c r="E13" s="12" t="s">
        <v>25</v>
      </c>
      <c r="F13" s="12" t="s">
        <v>25</v>
      </c>
      <c r="G13" s="13" t="s">
        <v>75</v>
      </c>
      <c r="H13" s="13" t="s">
        <v>69</v>
      </c>
      <c r="I13" s="13">
        <f>SUMIF(Mercado_Receita!$T$2:$T$352,"44440B1Energia convencional pré-pagamentoResidencialResidencial baixa renda – faixa 01Não se aplicaNão se aplicaNão se aplica",Mercado_Receita!$N$2:$N$352)</f>
        <v>0</v>
      </c>
      <c r="J13" s="13">
        <f>SUMIF(Mercado_Receita!$T$2:$T$352,"44470B1Energia convencional pré-pagamentoResidencialResidencial baixa renda – faixa 01Não se aplicaNão se aplicaNão se aplica",Mercado_Receita!$N$2:$N$352)</f>
        <v>0</v>
      </c>
      <c r="K13" s="13">
        <f>SUMIF(Mercado_Receita!$T$2:$T$352,"44501B1Energia convencional pré-pagamentoResidencialResidencial baixa renda – faixa 01Não se aplicaNão se aplicaNão se aplica",Mercado_Receita!$N$2:$N$352)</f>
        <v>0</v>
      </c>
      <c r="L13" s="13">
        <f>SUMIF(Mercado_Receita!$T$2:$T$352,"44531B1Energia convencional pré-pagamentoResidencialResidencial baixa renda – faixa 01Não se aplicaNão se aplicaNão se aplica",Mercado_Receita!$N$2:$N$352)</f>
        <v>0</v>
      </c>
      <c r="M13" s="13">
        <f>SUMIF(Mercado_Receita!$T$2:$T$352,"44562B1Energia convencional pré-pagamentoResidencialResidencial baixa renda – faixa 01Não se aplicaNão se aplicaNão se aplica",Mercado_Receita!$N$2:$N$352)</f>
        <v>0</v>
      </c>
      <c r="N13" s="13">
        <f>SUMIF(Mercado_Receita!$T$2:$T$352,"44593B1Energia convencional pré-pagamentoResidencialResidencial baixa renda – faixa 01Não se aplicaNão se aplicaNão se aplica",Mercado_Receita!$N$2:$N$352)</f>
        <v>0</v>
      </c>
      <c r="O13" s="13">
        <f>SUMIF(Mercado_Receita!$T$2:$T$352,"44621B1Energia convencional pré-pagamentoResidencialResidencial baixa renda – faixa 01Não se aplicaNão se aplicaNão se aplica",Mercado_Receita!$N$2:$N$352)</f>
        <v>0</v>
      </c>
      <c r="P13" s="13">
        <f>SUMIF(Mercado_Receita!$T$2:$T$352,"44652B1Energia convencional pré-pagamentoResidencialResidencial baixa renda – faixa 01Não se aplicaNão se aplicaNão se aplica",Mercado_Receita!$N$2:$N$352)</f>
        <v>0</v>
      </c>
      <c r="Q13" s="13">
        <f>SUMIF(Mercado_Receita!$T$2:$T$352,"44682B1Energia convencional pré-pagamentoResidencialResidencial baixa renda – faixa 01Não se aplicaNão se aplicaNão se aplica",Mercado_Receita!$N$2:$N$352)</f>
        <v>0</v>
      </c>
      <c r="R13" s="13">
        <f>SUMIF(Mercado_Receita!$T$2:$T$352,"44713B1Energia convencional pré-pagamentoResidencialResidencial baixa renda – faixa 01Não se aplicaNão se aplicaNão se aplica",Mercado_Receita!$N$2:$N$352)</f>
        <v>0</v>
      </c>
      <c r="S13" s="13">
        <f>SUMIF(Mercado_Receita!$T$2:$T$352,"44743B1Energia convencional pré-pagamentoResidencialResidencial baixa renda – faixa 01Não se aplicaNão se aplicaNão se aplica",Mercado_Receita!$N$2:$N$352)</f>
        <v>0</v>
      </c>
      <c r="T13" s="13">
        <f>SUMIF(Mercado_Receita!$T$2:$T$352,"44774B1Energia convencional pré-pagamentoResidencialResidencial baixa renda – faixa 01Não se aplicaNão se aplicaNão se aplica",Mercado_Receita!$N$2:$N$352)</f>
        <v>0</v>
      </c>
      <c r="U13" s="13">
        <f t="shared" si="0"/>
        <v>0</v>
      </c>
      <c r="V13" s="13"/>
      <c r="W13" s="13"/>
    </row>
    <row r="14" spans="1:30" ht="11.25" customHeight="1" x14ac:dyDescent="0.3">
      <c r="A14" s="74"/>
      <c r="B14" s="74"/>
      <c r="C14" s="74"/>
      <c r="D14" s="12" t="s">
        <v>30</v>
      </c>
      <c r="E14" s="12" t="s">
        <v>25</v>
      </c>
      <c r="F14" s="12" t="s">
        <v>25</v>
      </c>
      <c r="G14" s="13" t="s">
        <v>75</v>
      </c>
      <c r="H14" s="13" t="s">
        <v>69</v>
      </c>
      <c r="I14" s="13">
        <f>SUMIF(Mercado_Receita!$T$2:$T$352,"44440B1Energia convencional pré-pagamentoResidencialResidencial baixa renda – faixa 02Não se aplicaNão se aplicaNão se aplica",Mercado_Receita!$N$2:$N$352)</f>
        <v>0</v>
      </c>
      <c r="J14" s="13">
        <f>SUMIF(Mercado_Receita!$T$2:$T$352,"44470B1Energia convencional pré-pagamentoResidencialResidencial baixa renda – faixa 02Não se aplicaNão se aplicaNão se aplica",Mercado_Receita!$N$2:$N$352)</f>
        <v>0</v>
      </c>
      <c r="K14" s="13">
        <f>SUMIF(Mercado_Receita!$T$2:$T$352,"44501B1Energia convencional pré-pagamentoResidencialResidencial baixa renda – faixa 02Não se aplicaNão se aplicaNão se aplica",Mercado_Receita!$N$2:$N$352)</f>
        <v>0</v>
      </c>
      <c r="L14" s="13">
        <f>SUMIF(Mercado_Receita!$T$2:$T$352,"44531B1Energia convencional pré-pagamentoResidencialResidencial baixa renda – faixa 02Não se aplicaNão se aplicaNão se aplica",Mercado_Receita!$N$2:$N$352)</f>
        <v>0</v>
      </c>
      <c r="M14" s="13">
        <f>SUMIF(Mercado_Receita!$T$2:$T$352,"44562B1Energia convencional pré-pagamentoResidencialResidencial baixa renda – faixa 02Não se aplicaNão se aplicaNão se aplica",Mercado_Receita!$N$2:$N$352)</f>
        <v>0</v>
      </c>
      <c r="N14" s="13">
        <f>SUMIF(Mercado_Receita!$T$2:$T$352,"44593B1Energia convencional pré-pagamentoResidencialResidencial baixa renda – faixa 02Não se aplicaNão se aplicaNão se aplica",Mercado_Receita!$N$2:$N$352)</f>
        <v>0</v>
      </c>
      <c r="O14" s="13">
        <f>SUMIF(Mercado_Receita!$T$2:$T$352,"44621B1Energia convencional pré-pagamentoResidencialResidencial baixa renda – faixa 02Não se aplicaNão se aplicaNão se aplica",Mercado_Receita!$N$2:$N$352)</f>
        <v>0</v>
      </c>
      <c r="P14" s="13">
        <f>SUMIF(Mercado_Receita!$T$2:$T$352,"44652B1Energia convencional pré-pagamentoResidencialResidencial baixa renda – faixa 02Não se aplicaNão se aplicaNão se aplica",Mercado_Receita!$N$2:$N$352)</f>
        <v>0</v>
      </c>
      <c r="Q14" s="13">
        <f>SUMIF(Mercado_Receita!$T$2:$T$352,"44682B1Energia convencional pré-pagamentoResidencialResidencial baixa renda – faixa 02Não se aplicaNão se aplicaNão se aplica",Mercado_Receita!$N$2:$N$352)</f>
        <v>0</v>
      </c>
      <c r="R14" s="13">
        <f>SUMIF(Mercado_Receita!$T$2:$T$352,"44713B1Energia convencional pré-pagamentoResidencialResidencial baixa renda – faixa 02Não se aplicaNão se aplicaNão se aplica",Mercado_Receita!$N$2:$N$352)</f>
        <v>0</v>
      </c>
      <c r="S14" s="13">
        <f>SUMIF(Mercado_Receita!$T$2:$T$352,"44743B1Energia convencional pré-pagamentoResidencialResidencial baixa renda – faixa 02Não se aplicaNão se aplicaNão se aplica",Mercado_Receita!$N$2:$N$352)</f>
        <v>0</v>
      </c>
      <c r="T14" s="13">
        <f>SUMIF(Mercado_Receita!$T$2:$T$352,"44774B1Energia convencional pré-pagamentoResidencialResidencial baixa renda – faixa 02Não se aplicaNão se aplicaNão se aplica",Mercado_Receita!$N$2:$N$352)</f>
        <v>0</v>
      </c>
      <c r="U14" s="13">
        <f t="shared" si="0"/>
        <v>0</v>
      </c>
      <c r="V14" s="13"/>
      <c r="W14" s="13"/>
    </row>
    <row r="15" spans="1:30" ht="11.25" customHeight="1" x14ac:dyDescent="0.3">
      <c r="A15" s="74"/>
      <c r="B15" s="74"/>
      <c r="C15" s="74"/>
      <c r="D15" s="12" t="s">
        <v>31</v>
      </c>
      <c r="E15" s="12" t="s">
        <v>25</v>
      </c>
      <c r="F15" s="12" t="s">
        <v>25</v>
      </c>
      <c r="G15" s="13" t="s">
        <v>75</v>
      </c>
      <c r="H15" s="13" t="s">
        <v>69</v>
      </c>
      <c r="I15" s="13">
        <f>SUMIF(Mercado_Receita!$T$2:$T$352,"44440B1Energia convencional pré-pagamentoResidencialResidencial baixa renda – faixa 03Não se aplicaNão se aplicaNão se aplica",Mercado_Receita!$N$2:$N$352)</f>
        <v>0</v>
      </c>
      <c r="J15" s="13">
        <f>SUMIF(Mercado_Receita!$T$2:$T$352,"44470B1Energia convencional pré-pagamentoResidencialResidencial baixa renda – faixa 03Não se aplicaNão se aplicaNão se aplica",Mercado_Receita!$N$2:$N$352)</f>
        <v>0</v>
      </c>
      <c r="K15" s="13">
        <f>SUMIF(Mercado_Receita!$T$2:$T$352,"44501B1Energia convencional pré-pagamentoResidencialResidencial baixa renda – faixa 03Não se aplicaNão se aplicaNão se aplica",Mercado_Receita!$N$2:$N$352)</f>
        <v>0</v>
      </c>
      <c r="L15" s="13">
        <f>SUMIF(Mercado_Receita!$T$2:$T$352,"44531B1Energia convencional pré-pagamentoResidencialResidencial baixa renda – faixa 03Não se aplicaNão se aplicaNão se aplica",Mercado_Receita!$N$2:$N$352)</f>
        <v>0</v>
      </c>
      <c r="M15" s="13">
        <f>SUMIF(Mercado_Receita!$T$2:$T$352,"44562B1Energia convencional pré-pagamentoResidencialResidencial baixa renda – faixa 03Não se aplicaNão se aplicaNão se aplica",Mercado_Receita!$N$2:$N$352)</f>
        <v>0</v>
      </c>
      <c r="N15" s="13">
        <f>SUMIF(Mercado_Receita!$T$2:$T$352,"44593B1Energia convencional pré-pagamentoResidencialResidencial baixa renda – faixa 03Não se aplicaNão se aplicaNão se aplica",Mercado_Receita!$N$2:$N$352)</f>
        <v>0</v>
      </c>
      <c r="O15" s="13">
        <f>SUMIF(Mercado_Receita!$T$2:$T$352,"44621B1Energia convencional pré-pagamentoResidencialResidencial baixa renda – faixa 03Não se aplicaNão se aplicaNão se aplica",Mercado_Receita!$N$2:$N$352)</f>
        <v>0</v>
      </c>
      <c r="P15" s="13">
        <f>SUMIF(Mercado_Receita!$T$2:$T$352,"44652B1Energia convencional pré-pagamentoResidencialResidencial baixa renda – faixa 03Não se aplicaNão se aplicaNão se aplica",Mercado_Receita!$N$2:$N$352)</f>
        <v>0</v>
      </c>
      <c r="Q15" s="13">
        <f>SUMIF(Mercado_Receita!$T$2:$T$352,"44682B1Energia convencional pré-pagamentoResidencialResidencial baixa renda – faixa 03Não se aplicaNão se aplicaNão se aplica",Mercado_Receita!$N$2:$N$352)</f>
        <v>0</v>
      </c>
      <c r="R15" s="13">
        <f>SUMIF(Mercado_Receita!$T$2:$T$352,"44713B1Energia convencional pré-pagamentoResidencialResidencial baixa renda – faixa 03Não se aplicaNão se aplicaNão se aplica",Mercado_Receita!$N$2:$N$352)</f>
        <v>0</v>
      </c>
      <c r="S15" s="13">
        <f>SUMIF(Mercado_Receita!$T$2:$T$352,"44743B1Energia convencional pré-pagamentoResidencialResidencial baixa renda – faixa 03Não se aplicaNão se aplicaNão se aplica",Mercado_Receita!$N$2:$N$352)</f>
        <v>0</v>
      </c>
      <c r="T15" s="13">
        <f>SUMIF(Mercado_Receita!$T$2:$T$352,"44774B1Energia convencional pré-pagamentoResidencialResidencial baixa renda – faixa 03Não se aplicaNão se aplicaNão se aplica",Mercado_Receita!$N$2:$N$352)</f>
        <v>0</v>
      </c>
      <c r="U15" s="13">
        <f t="shared" si="0"/>
        <v>0</v>
      </c>
      <c r="V15" s="13"/>
      <c r="W15" s="13"/>
    </row>
    <row r="16" spans="1:30" ht="11.25" customHeight="1" x14ac:dyDescent="0.3">
      <c r="A16" s="74"/>
      <c r="B16" s="74"/>
      <c r="C16" s="74"/>
      <c r="D16" s="12" t="s">
        <v>32</v>
      </c>
      <c r="E16" s="12" t="s">
        <v>25</v>
      </c>
      <c r="F16" s="12" t="s">
        <v>25</v>
      </c>
      <c r="G16" s="13" t="s">
        <v>75</v>
      </c>
      <c r="H16" s="13" t="s">
        <v>69</v>
      </c>
      <c r="I16" s="13">
        <f>SUMIF(Mercado_Receita!$T$2:$T$352,"44440B1Energia convencional pré-pagamentoResidencialResidencial baixa renda – faixa 04Não se aplicaNão se aplicaNão se aplica",Mercado_Receita!$N$2:$N$352)</f>
        <v>0</v>
      </c>
      <c r="J16" s="13">
        <f>SUMIF(Mercado_Receita!$T$2:$T$352,"44470B1Energia convencional pré-pagamentoResidencialResidencial baixa renda – faixa 04Não se aplicaNão se aplicaNão se aplica",Mercado_Receita!$N$2:$N$352)</f>
        <v>0</v>
      </c>
      <c r="K16" s="13">
        <f>SUMIF(Mercado_Receita!$T$2:$T$352,"44501B1Energia convencional pré-pagamentoResidencialResidencial baixa renda – faixa 04Não se aplicaNão se aplicaNão se aplica",Mercado_Receita!$N$2:$N$352)</f>
        <v>0</v>
      </c>
      <c r="L16" s="13">
        <f>SUMIF(Mercado_Receita!$T$2:$T$352,"44531B1Energia convencional pré-pagamentoResidencialResidencial baixa renda – faixa 04Não se aplicaNão se aplicaNão se aplica",Mercado_Receita!$N$2:$N$352)</f>
        <v>0</v>
      </c>
      <c r="M16" s="13">
        <f>SUMIF(Mercado_Receita!$T$2:$T$352,"44562B1Energia convencional pré-pagamentoResidencialResidencial baixa renda – faixa 04Não se aplicaNão se aplicaNão se aplica",Mercado_Receita!$N$2:$N$352)</f>
        <v>0</v>
      </c>
      <c r="N16" s="13">
        <f>SUMIF(Mercado_Receita!$T$2:$T$352,"44593B1Energia convencional pré-pagamentoResidencialResidencial baixa renda – faixa 04Não se aplicaNão se aplicaNão se aplica",Mercado_Receita!$N$2:$N$352)</f>
        <v>0</v>
      </c>
      <c r="O16" s="13">
        <f>SUMIF(Mercado_Receita!$T$2:$T$352,"44621B1Energia convencional pré-pagamentoResidencialResidencial baixa renda – faixa 04Não se aplicaNão se aplicaNão se aplica",Mercado_Receita!$N$2:$N$352)</f>
        <v>0</v>
      </c>
      <c r="P16" s="13">
        <f>SUMIF(Mercado_Receita!$T$2:$T$352,"44652B1Energia convencional pré-pagamentoResidencialResidencial baixa renda – faixa 04Não se aplicaNão se aplicaNão se aplica",Mercado_Receita!$N$2:$N$352)</f>
        <v>0</v>
      </c>
      <c r="Q16" s="13">
        <f>SUMIF(Mercado_Receita!$T$2:$T$352,"44682B1Energia convencional pré-pagamentoResidencialResidencial baixa renda – faixa 04Não se aplicaNão se aplicaNão se aplica",Mercado_Receita!$N$2:$N$352)</f>
        <v>0</v>
      </c>
      <c r="R16" s="13">
        <f>SUMIF(Mercado_Receita!$T$2:$T$352,"44713B1Energia convencional pré-pagamentoResidencialResidencial baixa renda – faixa 04Não se aplicaNão se aplicaNão se aplica",Mercado_Receita!$N$2:$N$352)</f>
        <v>0</v>
      </c>
      <c r="S16" s="13">
        <f>SUMIF(Mercado_Receita!$T$2:$T$352,"44743B1Energia convencional pré-pagamentoResidencialResidencial baixa renda – faixa 04Não se aplicaNão se aplicaNão se aplica",Mercado_Receita!$N$2:$N$352)</f>
        <v>0</v>
      </c>
      <c r="T16" s="13">
        <f>SUMIF(Mercado_Receita!$T$2:$T$352,"44774B1Energia convencional pré-pagamentoResidencialResidencial baixa renda – faixa 04Não se aplicaNão se aplicaNão se aplica",Mercado_Receita!$N$2:$N$352)</f>
        <v>0</v>
      </c>
      <c r="U16" s="13">
        <f t="shared" si="0"/>
        <v>0</v>
      </c>
      <c r="V16" s="13"/>
      <c r="W16" s="13"/>
    </row>
    <row r="17" spans="1:23" ht="11.25" customHeight="1" x14ac:dyDescent="0.3">
      <c r="A17" s="73" t="s">
        <v>42</v>
      </c>
      <c r="B17" s="73" t="s">
        <v>68</v>
      </c>
      <c r="C17" s="73" t="s">
        <v>43</v>
      </c>
      <c r="D17" s="73" t="s">
        <v>25</v>
      </c>
      <c r="E17" s="73" t="s">
        <v>25</v>
      </c>
      <c r="F17" s="73" t="s">
        <v>25</v>
      </c>
      <c r="G17" s="13" t="s">
        <v>70</v>
      </c>
      <c r="H17" s="13" t="s">
        <v>69</v>
      </c>
      <c r="I17" s="13">
        <f>SUMIF(Mercado_Receita!$T$2:$T$352,"44440B2Energia horáriaRuralNão se aplicaNão se aplicaNão se aplicaPonta",Mercado_Receita!$N$2:$N$352)</f>
        <v>0</v>
      </c>
      <c r="J17" s="13">
        <f>SUMIF(Mercado_Receita!$T$2:$T$352,"44470B2Energia horáriaRuralNão se aplicaNão se aplicaNão se aplicaPonta",Mercado_Receita!$N$2:$N$352)</f>
        <v>0</v>
      </c>
      <c r="K17" s="13">
        <f>SUMIF(Mercado_Receita!$T$2:$T$352,"44501B2Energia horáriaRuralNão se aplicaNão se aplicaNão se aplicaPonta",Mercado_Receita!$N$2:$N$352)</f>
        <v>0</v>
      </c>
      <c r="L17" s="13">
        <f>SUMIF(Mercado_Receita!$T$2:$T$352,"44531B2Energia horáriaRuralNão se aplicaNão se aplicaNão se aplicaPonta",Mercado_Receita!$N$2:$N$352)</f>
        <v>0</v>
      </c>
      <c r="M17" s="13">
        <f>SUMIF(Mercado_Receita!$T$2:$T$352,"44562B2Energia horáriaRuralNão se aplicaNão se aplicaNão se aplicaPonta",Mercado_Receita!$N$2:$N$352)</f>
        <v>0</v>
      </c>
      <c r="N17" s="13">
        <f>SUMIF(Mercado_Receita!$T$2:$T$352,"44593B2Energia horáriaRuralNão se aplicaNão se aplicaNão se aplicaPonta",Mercado_Receita!$N$2:$N$352)</f>
        <v>0</v>
      </c>
      <c r="O17" s="13">
        <f>SUMIF(Mercado_Receita!$T$2:$T$352,"44621B2Energia horáriaRuralNão se aplicaNão se aplicaNão se aplicaPonta",Mercado_Receita!$N$2:$N$352)</f>
        <v>0</v>
      </c>
      <c r="P17" s="13">
        <f>SUMIF(Mercado_Receita!$T$2:$T$352,"44652B2Energia horáriaRuralNão se aplicaNão se aplicaNão se aplicaPonta",Mercado_Receita!$N$2:$N$352)</f>
        <v>0</v>
      </c>
      <c r="Q17" s="13">
        <f>SUMIF(Mercado_Receita!$T$2:$T$352,"44682B2Energia horáriaRuralNão se aplicaNão se aplicaNão se aplicaPonta",Mercado_Receita!$N$2:$N$352)</f>
        <v>0</v>
      </c>
      <c r="R17" s="13">
        <f>SUMIF(Mercado_Receita!$T$2:$T$352,"44713B2Energia horáriaRuralNão se aplicaNão se aplicaNão se aplicaPonta",Mercado_Receita!$N$2:$N$352)</f>
        <v>0</v>
      </c>
      <c r="S17" s="13">
        <f>SUMIF(Mercado_Receita!$T$2:$T$352,"44743B2Energia horáriaRuralNão se aplicaNão se aplicaNão se aplicaPonta",Mercado_Receita!$N$2:$N$352)</f>
        <v>0</v>
      </c>
      <c r="T17" s="13">
        <f>SUMIF(Mercado_Receita!$T$2:$T$352,"44774B2Energia horáriaRuralNão se aplicaNão se aplicaNão se aplicaPonta",Mercado_Receita!$N$2:$N$352)</f>
        <v>0</v>
      </c>
      <c r="U17" s="13">
        <f t="shared" si="0"/>
        <v>0</v>
      </c>
      <c r="V17" s="13"/>
      <c r="W17" s="13"/>
    </row>
    <row r="18" spans="1:23" ht="11.25" customHeight="1" x14ac:dyDescent="0.3">
      <c r="A18" s="74"/>
      <c r="B18" s="74"/>
      <c r="C18" s="74"/>
      <c r="D18" s="74"/>
      <c r="E18" s="74"/>
      <c r="F18" s="74"/>
      <c r="G18" s="13" t="s">
        <v>81</v>
      </c>
      <c r="H18" s="13" t="s">
        <v>69</v>
      </c>
      <c r="I18" s="13">
        <f>SUMIF(Mercado_Receita!$T$2:$T$352,"44440B2Energia horáriaRuralNão se aplicaNão se aplicaNão se aplicaIntermediário",Mercado_Receita!$N$2:$N$352)</f>
        <v>0</v>
      </c>
      <c r="J18" s="13">
        <f>SUMIF(Mercado_Receita!$T$2:$T$352,"44470B2Energia horáriaRuralNão se aplicaNão se aplicaNão se aplicaIntermediário",Mercado_Receita!$N$2:$N$352)</f>
        <v>0</v>
      </c>
      <c r="K18" s="13">
        <f>SUMIF(Mercado_Receita!$T$2:$T$352,"44501B2Energia horáriaRuralNão se aplicaNão se aplicaNão se aplicaIntermediário",Mercado_Receita!$N$2:$N$352)</f>
        <v>0</v>
      </c>
      <c r="L18" s="13">
        <f>SUMIF(Mercado_Receita!$T$2:$T$352,"44531B2Energia horáriaRuralNão se aplicaNão se aplicaNão se aplicaIntermediário",Mercado_Receita!$N$2:$N$352)</f>
        <v>0</v>
      </c>
      <c r="M18" s="13">
        <f>SUMIF(Mercado_Receita!$T$2:$T$352,"44562B2Energia horáriaRuralNão se aplicaNão se aplicaNão se aplicaIntermediário",Mercado_Receita!$N$2:$N$352)</f>
        <v>0</v>
      </c>
      <c r="N18" s="13">
        <f>SUMIF(Mercado_Receita!$T$2:$T$352,"44593B2Energia horáriaRuralNão se aplicaNão se aplicaNão se aplicaIntermediário",Mercado_Receita!$N$2:$N$352)</f>
        <v>0</v>
      </c>
      <c r="O18" s="13">
        <f>SUMIF(Mercado_Receita!$T$2:$T$352,"44621B2Energia horáriaRuralNão se aplicaNão se aplicaNão se aplicaIntermediário",Mercado_Receita!$N$2:$N$352)</f>
        <v>0</v>
      </c>
      <c r="P18" s="13">
        <f>SUMIF(Mercado_Receita!$T$2:$T$352,"44652B2Energia horáriaRuralNão se aplicaNão se aplicaNão se aplicaIntermediário",Mercado_Receita!$N$2:$N$352)</f>
        <v>0</v>
      </c>
      <c r="Q18" s="13">
        <f>SUMIF(Mercado_Receita!$T$2:$T$352,"44682B2Energia horáriaRuralNão se aplicaNão se aplicaNão se aplicaIntermediário",Mercado_Receita!$N$2:$N$352)</f>
        <v>0</v>
      </c>
      <c r="R18" s="13">
        <f>SUMIF(Mercado_Receita!$T$2:$T$352,"44713B2Energia horáriaRuralNão se aplicaNão se aplicaNão se aplicaIntermediário",Mercado_Receita!$N$2:$N$352)</f>
        <v>0</v>
      </c>
      <c r="S18" s="13">
        <f>SUMIF(Mercado_Receita!$T$2:$T$352,"44743B2Energia horáriaRuralNão se aplicaNão se aplicaNão se aplicaIntermediário",Mercado_Receita!$N$2:$N$352)</f>
        <v>0</v>
      </c>
      <c r="T18" s="13">
        <f>SUMIF(Mercado_Receita!$T$2:$T$352,"44774B2Energia horáriaRuralNão se aplicaNão se aplicaNão se aplicaIntermediário",Mercado_Receita!$N$2:$N$352)</f>
        <v>0</v>
      </c>
      <c r="U18" s="13">
        <f t="shared" si="0"/>
        <v>0</v>
      </c>
      <c r="V18" s="13"/>
      <c r="W18" s="13"/>
    </row>
    <row r="19" spans="1:23" ht="11.25" customHeight="1" x14ac:dyDescent="0.3">
      <c r="A19" s="74"/>
      <c r="B19" s="74"/>
      <c r="C19" s="74"/>
      <c r="D19" s="74"/>
      <c r="E19" s="74"/>
      <c r="F19" s="74"/>
      <c r="G19" s="13" t="s">
        <v>71</v>
      </c>
      <c r="H19" s="13" t="s">
        <v>69</v>
      </c>
      <c r="I19" s="13">
        <f>SUMIF(Mercado_Receita!$T$2:$T$352,"44440B2Energia horáriaRuralNão se aplicaNão se aplicaNão se aplicaFora ponta",Mercado_Receita!$N$2:$N$352)</f>
        <v>0</v>
      </c>
      <c r="J19" s="13">
        <f>SUMIF(Mercado_Receita!$T$2:$T$352,"44470B2Energia horáriaRuralNão se aplicaNão se aplicaNão se aplicaFora ponta",Mercado_Receita!$N$2:$N$352)</f>
        <v>0</v>
      </c>
      <c r="K19" s="13">
        <f>SUMIF(Mercado_Receita!$T$2:$T$352,"44501B2Energia horáriaRuralNão se aplicaNão se aplicaNão se aplicaFora ponta",Mercado_Receita!$N$2:$N$352)</f>
        <v>0</v>
      </c>
      <c r="L19" s="13">
        <f>SUMIF(Mercado_Receita!$T$2:$T$352,"44531B2Energia horáriaRuralNão se aplicaNão se aplicaNão se aplicaFora ponta",Mercado_Receita!$N$2:$N$352)</f>
        <v>0</v>
      </c>
      <c r="M19" s="13">
        <f>SUMIF(Mercado_Receita!$T$2:$T$352,"44562B2Energia horáriaRuralNão se aplicaNão se aplicaNão se aplicaFora ponta",Mercado_Receita!$N$2:$N$352)</f>
        <v>0</v>
      </c>
      <c r="N19" s="13">
        <f>SUMIF(Mercado_Receita!$T$2:$T$352,"44593B2Energia horáriaRuralNão se aplicaNão se aplicaNão se aplicaFora ponta",Mercado_Receita!$N$2:$N$352)</f>
        <v>0</v>
      </c>
      <c r="O19" s="13">
        <f>SUMIF(Mercado_Receita!$T$2:$T$352,"44621B2Energia horáriaRuralNão se aplicaNão se aplicaNão se aplicaFora ponta",Mercado_Receita!$N$2:$N$352)</f>
        <v>0</v>
      </c>
      <c r="P19" s="13">
        <f>SUMIF(Mercado_Receita!$T$2:$T$352,"44652B2Energia horáriaRuralNão se aplicaNão se aplicaNão se aplicaFora ponta",Mercado_Receita!$N$2:$N$352)</f>
        <v>0</v>
      </c>
      <c r="Q19" s="13">
        <f>SUMIF(Mercado_Receita!$T$2:$T$352,"44682B2Energia horáriaRuralNão se aplicaNão se aplicaNão se aplicaFora ponta",Mercado_Receita!$N$2:$N$352)</f>
        <v>0</v>
      </c>
      <c r="R19" s="13">
        <f>SUMIF(Mercado_Receita!$T$2:$T$352,"44713B2Energia horáriaRuralNão se aplicaNão se aplicaNão se aplicaFora ponta",Mercado_Receita!$N$2:$N$352)</f>
        <v>0</v>
      </c>
      <c r="S19" s="13">
        <f>SUMIF(Mercado_Receita!$T$2:$T$352,"44743B2Energia horáriaRuralNão se aplicaNão se aplicaNão se aplicaFora ponta",Mercado_Receita!$N$2:$N$352)</f>
        <v>0</v>
      </c>
      <c r="T19" s="13">
        <f>SUMIF(Mercado_Receita!$T$2:$T$352,"44774B2Energia horáriaRuralNão se aplicaNão se aplicaNão se aplicaFora ponta",Mercado_Receita!$N$2:$N$352)</f>
        <v>0</v>
      </c>
      <c r="U19" s="13">
        <f t="shared" si="0"/>
        <v>0</v>
      </c>
      <c r="V19" s="13"/>
      <c r="W19" s="13"/>
    </row>
    <row r="20" spans="1:23" ht="11.25" customHeight="1" x14ac:dyDescent="0.3">
      <c r="A20" s="74"/>
      <c r="B20" s="12" t="s">
        <v>82</v>
      </c>
      <c r="C20" s="12" t="s">
        <v>43</v>
      </c>
      <c r="D20" s="12" t="s">
        <v>25</v>
      </c>
      <c r="E20" s="12" t="s">
        <v>25</v>
      </c>
      <c r="F20" s="12" t="s">
        <v>25</v>
      </c>
      <c r="G20" s="13" t="s">
        <v>75</v>
      </c>
      <c r="H20" s="13" t="s">
        <v>69</v>
      </c>
      <c r="I20" s="13">
        <f>SUMIF(Mercado_Receita!$T$2:$T$352,"44440B2Energia convencionalRuralNão se aplicaNão se aplicaNão se aplicaNão se aplica",Mercado_Receita!$N$2:$N$352)</f>
        <v>256.27099999999996</v>
      </c>
      <c r="J20" s="13">
        <f>SUMIF(Mercado_Receita!$T$2:$T$352,"44470B2Energia convencionalRuralNão se aplicaNão se aplicaNão se aplicaNão se aplica",Mercado_Receita!$N$2:$N$352)</f>
        <v>290.40199999999999</v>
      </c>
      <c r="K20" s="13">
        <f>SUMIF(Mercado_Receita!$T$2:$T$352,"44501B2Energia convencionalRuralNão se aplicaNão se aplicaNão se aplicaNão se aplica",Mercado_Receita!$N$2:$N$352)</f>
        <v>265.36500000000001</v>
      </c>
      <c r="L20" s="13">
        <f>SUMIF(Mercado_Receita!$T$2:$T$352,"44531B2Energia convencionalRuralNão se aplicaNão se aplicaNão se aplicaNão se aplica",Mercado_Receita!$N$2:$N$352)</f>
        <v>262.15100000000001</v>
      </c>
      <c r="M20" s="13">
        <f>SUMIF(Mercado_Receita!$T$2:$T$352,"44562B2Energia convencionalRuralNão se aplicaNão se aplicaNão se aplicaNão se aplica",Mercado_Receita!$N$2:$N$352)</f>
        <v>316.34700000000004</v>
      </c>
      <c r="N20" s="13">
        <f>SUMIF(Mercado_Receita!$T$2:$T$352,"44593B2Energia convencionalRuralNão se aplicaNão se aplicaNão se aplicaNão se aplica",Mercado_Receita!$N$2:$N$352)</f>
        <v>342.84</v>
      </c>
      <c r="O20" s="13">
        <f>SUMIF(Mercado_Receita!$T$2:$T$352,"44621B2Energia convencionalRuralNão se aplicaNão se aplicaNão se aplicaNão se aplica",Mercado_Receita!$N$2:$N$352)</f>
        <v>306.62699999999995</v>
      </c>
      <c r="P20" s="13">
        <f>SUMIF(Mercado_Receita!$T$2:$T$352,"44652B2Energia convencionalRuralNão se aplicaNão se aplicaNão se aplicaNão se aplica",Mercado_Receita!$N$2:$N$352)</f>
        <v>260.39500000000004</v>
      </c>
      <c r="Q20" s="13">
        <f>SUMIF(Mercado_Receita!$T$2:$T$352,"44682B2Energia convencionalRuralNão se aplicaNão se aplicaNão se aplicaNão se aplica",Mercado_Receita!$N$2:$N$352)</f>
        <v>233.857</v>
      </c>
      <c r="R20" s="13">
        <f>SUMIF(Mercado_Receita!$T$2:$T$352,"44713B2Energia convencionalRuralNão se aplicaNão se aplicaNão se aplicaNão se aplica",Mercado_Receita!$N$2:$N$352)</f>
        <v>297.43399999999997</v>
      </c>
      <c r="S20" s="13">
        <f>SUMIF(Mercado_Receita!$T$2:$T$352,"44743B2Energia convencionalRuralNão se aplicaNão se aplicaNão se aplicaNão se aplica",Mercado_Receita!$N$2:$N$352)</f>
        <v>269.66199999999998</v>
      </c>
      <c r="T20" s="13">
        <f>SUMIF(Mercado_Receita!$T$2:$T$352,"44774B2Energia convencionalRuralNão se aplicaNão se aplicaNão se aplicaNão se aplica",Mercado_Receita!$N$2:$N$352)</f>
        <v>269.66199999999998</v>
      </c>
      <c r="U20" s="13">
        <f t="shared" si="0"/>
        <v>3371.0129999999999</v>
      </c>
      <c r="V20" s="13"/>
      <c r="W20" s="13"/>
    </row>
    <row r="21" spans="1:23" ht="11.25" customHeight="1" x14ac:dyDescent="0.3">
      <c r="A21" s="74"/>
      <c r="B21" s="73" t="s">
        <v>68</v>
      </c>
      <c r="C21" s="73" t="s">
        <v>43</v>
      </c>
      <c r="D21" s="73" t="s">
        <v>85</v>
      </c>
      <c r="E21" s="73" t="s">
        <v>25</v>
      </c>
      <c r="F21" s="73" t="s">
        <v>25</v>
      </c>
      <c r="G21" s="13" t="s">
        <v>70</v>
      </c>
      <c r="H21" s="13" t="s">
        <v>69</v>
      </c>
      <c r="I21" s="13">
        <f>SUMIF(Mercado_Receita!$T$2:$T$352,"44440B2Energia horáriaRuralCooperativa de eletrificação ruralNão se aplicaNão se aplicaPonta",Mercado_Receita!$N$2:$N$352)</f>
        <v>0</v>
      </c>
      <c r="J21" s="13">
        <f>SUMIF(Mercado_Receita!$T$2:$T$352,"44470B2Energia horáriaRuralCooperativa de eletrificação ruralNão se aplicaNão se aplicaPonta",Mercado_Receita!$N$2:$N$352)</f>
        <v>0</v>
      </c>
      <c r="K21" s="13">
        <f>SUMIF(Mercado_Receita!$T$2:$T$352,"44501B2Energia horáriaRuralCooperativa de eletrificação ruralNão se aplicaNão se aplicaPonta",Mercado_Receita!$N$2:$N$352)</f>
        <v>0</v>
      </c>
      <c r="L21" s="13">
        <f>SUMIF(Mercado_Receita!$T$2:$T$352,"44531B2Energia horáriaRuralCooperativa de eletrificação ruralNão se aplicaNão se aplicaPonta",Mercado_Receita!$N$2:$N$352)</f>
        <v>0</v>
      </c>
      <c r="M21" s="13">
        <f>SUMIF(Mercado_Receita!$T$2:$T$352,"44562B2Energia horáriaRuralCooperativa de eletrificação ruralNão se aplicaNão se aplicaPonta",Mercado_Receita!$N$2:$N$352)</f>
        <v>0</v>
      </c>
      <c r="N21" s="13">
        <f>SUMIF(Mercado_Receita!$T$2:$T$352,"44593B2Energia horáriaRuralCooperativa de eletrificação ruralNão se aplicaNão se aplicaPonta",Mercado_Receita!$N$2:$N$352)</f>
        <v>0</v>
      </c>
      <c r="O21" s="13">
        <f>SUMIF(Mercado_Receita!$T$2:$T$352,"44621B2Energia horáriaRuralCooperativa de eletrificação ruralNão se aplicaNão se aplicaPonta",Mercado_Receita!$N$2:$N$352)</f>
        <v>0</v>
      </c>
      <c r="P21" s="13">
        <f>SUMIF(Mercado_Receita!$T$2:$T$352,"44652B2Energia horáriaRuralCooperativa de eletrificação ruralNão se aplicaNão se aplicaPonta",Mercado_Receita!$N$2:$N$352)</f>
        <v>0</v>
      </c>
      <c r="Q21" s="13">
        <f>SUMIF(Mercado_Receita!$T$2:$T$352,"44682B2Energia horáriaRuralCooperativa de eletrificação ruralNão se aplicaNão se aplicaPonta",Mercado_Receita!$N$2:$N$352)</f>
        <v>0</v>
      </c>
      <c r="R21" s="13">
        <f>SUMIF(Mercado_Receita!$T$2:$T$352,"44713B2Energia horáriaRuralCooperativa de eletrificação ruralNão se aplicaNão se aplicaPonta",Mercado_Receita!$N$2:$N$352)</f>
        <v>0</v>
      </c>
      <c r="S21" s="13">
        <f>SUMIF(Mercado_Receita!$T$2:$T$352,"44743B2Energia horáriaRuralCooperativa de eletrificação ruralNão se aplicaNão se aplicaPonta",Mercado_Receita!$N$2:$N$352)</f>
        <v>0</v>
      </c>
      <c r="T21" s="13">
        <f>SUMIF(Mercado_Receita!$T$2:$T$352,"44774B2Energia horáriaRuralCooperativa de eletrificação ruralNão se aplicaNão se aplicaPonta",Mercado_Receita!$N$2:$N$352)</f>
        <v>0</v>
      </c>
      <c r="U21" s="13">
        <f t="shared" si="0"/>
        <v>0</v>
      </c>
      <c r="V21" s="13"/>
      <c r="W21" s="13"/>
    </row>
    <row r="22" spans="1:23" ht="11.25" customHeight="1" x14ac:dyDescent="0.3">
      <c r="A22" s="74"/>
      <c r="B22" s="74"/>
      <c r="C22" s="74"/>
      <c r="D22" s="74"/>
      <c r="E22" s="74"/>
      <c r="F22" s="74"/>
      <c r="G22" s="13" t="s">
        <v>81</v>
      </c>
      <c r="H22" s="13" t="s">
        <v>69</v>
      </c>
      <c r="I22" s="13">
        <f>SUMIF(Mercado_Receita!$T$2:$T$352,"44440B2Energia horáriaRuralCooperativa de eletrificação ruralNão se aplicaNão se aplicaIntermediário",Mercado_Receita!$N$2:$N$352)</f>
        <v>0</v>
      </c>
      <c r="J22" s="13">
        <f>SUMIF(Mercado_Receita!$T$2:$T$352,"44470B2Energia horáriaRuralCooperativa de eletrificação ruralNão se aplicaNão se aplicaIntermediário",Mercado_Receita!$N$2:$N$352)</f>
        <v>0</v>
      </c>
      <c r="K22" s="13">
        <f>SUMIF(Mercado_Receita!$T$2:$T$352,"44501B2Energia horáriaRuralCooperativa de eletrificação ruralNão se aplicaNão se aplicaIntermediário",Mercado_Receita!$N$2:$N$352)</f>
        <v>0</v>
      </c>
      <c r="L22" s="13">
        <f>SUMIF(Mercado_Receita!$T$2:$T$352,"44531B2Energia horáriaRuralCooperativa de eletrificação ruralNão se aplicaNão se aplicaIntermediário",Mercado_Receita!$N$2:$N$352)</f>
        <v>0</v>
      </c>
      <c r="M22" s="13">
        <f>SUMIF(Mercado_Receita!$T$2:$T$352,"44562B2Energia horáriaRuralCooperativa de eletrificação ruralNão se aplicaNão se aplicaIntermediário",Mercado_Receita!$N$2:$N$352)</f>
        <v>0</v>
      </c>
      <c r="N22" s="13">
        <f>SUMIF(Mercado_Receita!$T$2:$T$352,"44593B2Energia horáriaRuralCooperativa de eletrificação ruralNão se aplicaNão se aplicaIntermediário",Mercado_Receita!$N$2:$N$352)</f>
        <v>0</v>
      </c>
      <c r="O22" s="13">
        <f>SUMIF(Mercado_Receita!$T$2:$T$352,"44621B2Energia horáriaRuralCooperativa de eletrificação ruralNão se aplicaNão se aplicaIntermediário",Mercado_Receita!$N$2:$N$352)</f>
        <v>0</v>
      </c>
      <c r="P22" s="13">
        <f>SUMIF(Mercado_Receita!$T$2:$T$352,"44652B2Energia horáriaRuralCooperativa de eletrificação ruralNão se aplicaNão se aplicaIntermediário",Mercado_Receita!$N$2:$N$352)</f>
        <v>0</v>
      </c>
      <c r="Q22" s="13">
        <f>SUMIF(Mercado_Receita!$T$2:$T$352,"44682B2Energia horáriaRuralCooperativa de eletrificação ruralNão se aplicaNão se aplicaIntermediário",Mercado_Receita!$N$2:$N$352)</f>
        <v>0</v>
      </c>
      <c r="R22" s="13">
        <f>SUMIF(Mercado_Receita!$T$2:$T$352,"44713B2Energia horáriaRuralCooperativa de eletrificação ruralNão se aplicaNão se aplicaIntermediário",Mercado_Receita!$N$2:$N$352)</f>
        <v>0</v>
      </c>
      <c r="S22" s="13">
        <f>SUMIF(Mercado_Receita!$T$2:$T$352,"44743B2Energia horáriaRuralCooperativa de eletrificação ruralNão se aplicaNão se aplicaIntermediário",Mercado_Receita!$N$2:$N$352)</f>
        <v>0</v>
      </c>
      <c r="T22" s="13">
        <f>SUMIF(Mercado_Receita!$T$2:$T$352,"44774B2Energia horáriaRuralCooperativa de eletrificação ruralNão se aplicaNão se aplicaIntermediário",Mercado_Receita!$N$2:$N$352)</f>
        <v>0</v>
      </c>
      <c r="U22" s="13">
        <f t="shared" si="0"/>
        <v>0</v>
      </c>
      <c r="V22" s="13"/>
      <c r="W22" s="13"/>
    </row>
    <row r="23" spans="1:23" ht="11.25" customHeight="1" x14ac:dyDescent="0.3">
      <c r="A23" s="74"/>
      <c r="B23" s="74"/>
      <c r="C23" s="74"/>
      <c r="D23" s="74"/>
      <c r="E23" s="74"/>
      <c r="F23" s="74"/>
      <c r="G23" s="13" t="s">
        <v>71</v>
      </c>
      <c r="H23" s="13" t="s">
        <v>69</v>
      </c>
      <c r="I23" s="13">
        <f>SUMIF(Mercado_Receita!$T$2:$T$352,"44440B2Energia horáriaRuralCooperativa de eletrificação ruralNão se aplicaNão se aplicaFora ponta",Mercado_Receita!$N$2:$N$352)</f>
        <v>0</v>
      </c>
      <c r="J23" s="13">
        <f>SUMIF(Mercado_Receita!$T$2:$T$352,"44470B2Energia horáriaRuralCooperativa de eletrificação ruralNão se aplicaNão se aplicaFora ponta",Mercado_Receita!$N$2:$N$352)</f>
        <v>0</v>
      </c>
      <c r="K23" s="13">
        <f>SUMIF(Mercado_Receita!$T$2:$T$352,"44501B2Energia horáriaRuralCooperativa de eletrificação ruralNão se aplicaNão se aplicaFora ponta",Mercado_Receita!$N$2:$N$352)</f>
        <v>0</v>
      </c>
      <c r="L23" s="13">
        <f>SUMIF(Mercado_Receita!$T$2:$T$352,"44531B2Energia horáriaRuralCooperativa de eletrificação ruralNão se aplicaNão se aplicaFora ponta",Mercado_Receita!$N$2:$N$352)</f>
        <v>0</v>
      </c>
      <c r="M23" s="13">
        <f>SUMIF(Mercado_Receita!$T$2:$T$352,"44562B2Energia horáriaRuralCooperativa de eletrificação ruralNão se aplicaNão se aplicaFora ponta",Mercado_Receita!$N$2:$N$352)</f>
        <v>0</v>
      </c>
      <c r="N23" s="13">
        <f>SUMIF(Mercado_Receita!$T$2:$T$352,"44593B2Energia horáriaRuralCooperativa de eletrificação ruralNão se aplicaNão se aplicaFora ponta",Mercado_Receita!$N$2:$N$352)</f>
        <v>0</v>
      </c>
      <c r="O23" s="13">
        <f>SUMIF(Mercado_Receita!$T$2:$T$352,"44621B2Energia horáriaRuralCooperativa de eletrificação ruralNão se aplicaNão se aplicaFora ponta",Mercado_Receita!$N$2:$N$352)</f>
        <v>0</v>
      </c>
      <c r="P23" s="13">
        <f>SUMIF(Mercado_Receita!$T$2:$T$352,"44652B2Energia horáriaRuralCooperativa de eletrificação ruralNão se aplicaNão se aplicaFora ponta",Mercado_Receita!$N$2:$N$352)</f>
        <v>0</v>
      </c>
      <c r="Q23" s="13">
        <f>SUMIF(Mercado_Receita!$T$2:$T$352,"44682B2Energia horáriaRuralCooperativa de eletrificação ruralNão se aplicaNão se aplicaFora ponta",Mercado_Receita!$N$2:$N$352)</f>
        <v>0</v>
      </c>
      <c r="R23" s="13">
        <f>SUMIF(Mercado_Receita!$T$2:$T$352,"44713B2Energia horáriaRuralCooperativa de eletrificação ruralNão se aplicaNão se aplicaFora ponta",Mercado_Receita!$N$2:$N$352)</f>
        <v>0</v>
      </c>
      <c r="S23" s="13">
        <f>SUMIF(Mercado_Receita!$T$2:$T$352,"44743B2Energia horáriaRuralCooperativa de eletrificação ruralNão se aplicaNão se aplicaFora ponta",Mercado_Receita!$N$2:$N$352)</f>
        <v>0</v>
      </c>
      <c r="T23" s="13">
        <f>SUMIF(Mercado_Receita!$T$2:$T$352,"44774B2Energia horáriaRuralCooperativa de eletrificação ruralNão se aplicaNão se aplicaFora ponta",Mercado_Receita!$N$2:$N$352)</f>
        <v>0</v>
      </c>
      <c r="U23" s="13">
        <f t="shared" si="0"/>
        <v>0</v>
      </c>
      <c r="V23" s="13"/>
      <c r="W23" s="13"/>
    </row>
    <row r="24" spans="1:23" ht="11.25" customHeight="1" x14ac:dyDescent="0.3">
      <c r="A24" s="74"/>
      <c r="B24" s="12" t="s">
        <v>82</v>
      </c>
      <c r="C24" s="12" t="s">
        <v>43</v>
      </c>
      <c r="D24" s="12" t="s">
        <v>85</v>
      </c>
      <c r="E24" s="12" t="s">
        <v>25</v>
      </c>
      <c r="F24" s="12" t="s">
        <v>25</v>
      </c>
      <c r="G24" s="13" t="s">
        <v>75</v>
      </c>
      <c r="H24" s="13" t="s">
        <v>69</v>
      </c>
      <c r="I24" s="13">
        <f>SUMIF(Mercado_Receita!$T$2:$T$352,"44440B2Energia convencionalRuralCooperativa de eletrificação ruralNão se aplicaNão se aplicaNão se aplica",Mercado_Receita!$N$2:$N$352)</f>
        <v>0</v>
      </c>
      <c r="J24" s="13">
        <f>SUMIF(Mercado_Receita!$T$2:$T$352,"44470B2Energia convencionalRuralCooperativa de eletrificação ruralNão se aplicaNão se aplicaNão se aplica",Mercado_Receita!$N$2:$N$352)</f>
        <v>0</v>
      </c>
      <c r="K24" s="13">
        <f>SUMIF(Mercado_Receita!$T$2:$T$352,"44501B2Energia convencionalRuralCooperativa de eletrificação ruralNão se aplicaNão se aplicaNão se aplica",Mercado_Receita!$N$2:$N$352)</f>
        <v>0</v>
      </c>
      <c r="L24" s="13">
        <f>SUMIF(Mercado_Receita!$T$2:$T$352,"44531B2Energia convencionalRuralCooperativa de eletrificação ruralNão se aplicaNão se aplicaNão se aplica",Mercado_Receita!$N$2:$N$352)</f>
        <v>0</v>
      </c>
      <c r="M24" s="13">
        <f>SUMIF(Mercado_Receita!$T$2:$T$352,"44562B2Energia convencionalRuralCooperativa de eletrificação ruralNão se aplicaNão se aplicaNão se aplica",Mercado_Receita!$N$2:$N$352)</f>
        <v>0</v>
      </c>
      <c r="N24" s="13">
        <f>SUMIF(Mercado_Receita!$T$2:$T$352,"44593B2Energia convencionalRuralCooperativa de eletrificação ruralNão se aplicaNão se aplicaNão se aplica",Mercado_Receita!$N$2:$N$352)</f>
        <v>0</v>
      </c>
      <c r="O24" s="13">
        <f>SUMIF(Mercado_Receita!$T$2:$T$352,"44621B2Energia convencionalRuralCooperativa de eletrificação ruralNão se aplicaNão se aplicaNão se aplica",Mercado_Receita!$N$2:$N$352)</f>
        <v>0</v>
      </c>
      <c r="P24" s="13">
        <f>SUMIF(Mercado_Receita!$T$2:$T$352,"44652B2Energia convencionalRuralCooperativa de eletrificação ruralNão se aplicaNão se aplicaNão se aplica",Mercado_Receita!$N$2:$N$352)</f>
        <v>0</v>
      </c>
      <c r="Q24" s="13">
        <f>SUMIF(Mercado_Receita!$T$2:$T$352,"44682B2Energia convencionalRuralCooperativa de eletrificação ruralNão se aplicaNão se aplicaNão se aplica",Mercado_Receita!$N$2:$N$352)</f>
        <v>0</v>
      </c>
      <c r="R24" s="13">
        <f>SUMIF(Mercado_Receita!$T$2:$T$352,"44713B2Energia convencionalRuralCooperativa de eletrificação ruralNão se aplicaNão se aplicaNão se aplica",Mercado_Receita!$N$2:$N$352)</f>
        <v>0</v>
      </c>
      <c r="S24" s="13">
        <f>SUMIF(Mercado_Receita!$T$2:$T$352,"44743B2Energia convencionalRuralCooperativa de eletrificação ruralNão se aplicaNão se aplicaNão se aplica",Mercado_Receita!$N$2:$N$352)</f>
        <v>0</v>
      </c>
      <c r="T24" s="13">
        <f>SUMIF(Mercado_Receita!$T$2:$T$352,"44774B2Energia convencionalRuralCooperativa de eletrificação ruralNão se aplicaNão se aplicaNão se aplica",Mercado_Receita!$N$2:$N$352)</f>
        <v>0</v>
      </c>
      <c r="U24" s="13">
        <f t="shared" si="0"/>
        <v>0</v>
      </c>
      <c r="V24" s="13"/>
      <c r="W24" s="13"/>
    </row>
    <row r="25" spans="1:23" ht="11.25" customHeight="1" x14ac:dyDescent="0.3">
      <c r="A25" s="74"/>
      <c r="B25" s="73" t="s">
        <v>68</v>
      </c>
      <c r="C25" s="73" t="s">
        <v>43</v>
      </c>
      <c r="D25" s="73" t="s">
        <v>86</v>
      </c>
      <c r="E25" s="73" t="s">
        <v>25</v>
      </c>
      <c r="F25" s="73" t="s">
        <v>25</v>
      </c>
      <c r="G25" s="13" t="s">
        <v>70</v>
      </c>
      <c r="H25" s="13" t="s">
        <v>69</v>
      </c>
      <c r="I25" s="13">
        <f>SUMIF(Mercado_Receita!$T$2:$T$352,"44440B2Energia horáriaRuralServiço público de irrigação ruralNão se aplicaNão se aplicaPonta",Mercado_Receita!$N$2:$N$352)</f>
        <v>0</v>
      </c>
      <c r="J25" s="13">
        <f>SUMIF(Mercado_Receita!$T$2:$T$352,"44470B2Energia horáriaRuralServiço público de irrigação ruralNão se aplicaNão se aplicaPonta",Mercado_Receita!$N$2:$N$352)</f>
        <v>0</v>
      </c>
      <c r="K25" s="13">
        <f>SUMIF(Mercado_Receita!$T$2:$T$352,"44501B2Energia horáriaRuralServiço público de irrigação ruralNão se aplicaNão se aplicaPonta",Mercado_Receita!$N$2:$N$352)</f>
        <v>0</v>
      </c>
      <c r="L25" s="13">
        <f>SUMIF(Mercado_Receita!$T$2:$T$352,"44531B2Energia horáriaRuralServiço público de irrigação ruralNão se aplicaNão se aplicaPonta",Mercado_Receita!$N$2:$N$352)</f>
        <v>0</v>
      </c>
      <c r="M25" s="13">
        <f>SUMIF(Mercado_Receita!$T$2:$T$352,"44562B2Energia horáriaRuralServiço público de irrigação ruralNão se aplicaNão se aplicaPonta",Mercado_Receita!$N$2:$N$352)</f>
        <v>0</v>
      </c>
      <c r="N25" s="13">
        <f>SUMIF(Mercado_Receita!$T$2:$T$352,"44593B2Energia horáriaRuralServiço público de irrigação ruralNão se aplicaNão se aplicaPonta",Mercado_Receita!$N$2:$N$352)</f>
        <v>0</v>
      </c>
      <c r="O25" s="13">
        <f>SUMIF(Mercado_Receita!$T$2:$T$352,"44621B2Energia horáriaRuralServiço público de irrigação ruralNão se aplicaNão se aplicaPonta",Mercado_Receita!$N$2:$N$352)</f>
        <v>0</v>
      </c>
      <c r="P25" s="13">
        <f>SUMIF(Mercado_Receita!$T$2:$T$352,"44652B2Energia horáriaRuralServiço público de irrigação ruralNão se aplicaNão se aplicaPonta",Mercado_Receita!$N$2:$N$352)</f>
        <v>0</v>
      </c>
      <c r="Q25" s="13">
        <f>SUMIF(Mercado_Receita!$T$2:$T$352,"44682B2Energia horáriaRuralServiço público de irrigação ruralNão se aplicaNão se aplicaPonta",Mercado_Receita!$N$2:$N$352)</f>
        <v>0</v>
      </c>
      <c r="R25" s="13">
        <f>SUMIF(Mercado_Receita!$T$2:$T$352,"44713B2Energia horáriaRuralServiço público de irrigação ruralNão se aplicaNão se aplicaPonta",Mercado_Receita!$N$2:$N$352)</f>
        <v>0</v>
      </c>
      <c r="S25" s="13">
        <f>SUMIF(Mercado_Receita!$T$2:$T$352,"44743B2Energia horáriaRuralServiço público de irrigação ruralNão se aplicaNão se aplicaPonta",Mercado_Receita!$N$2:$N$352)</f>
        <v>0</v>
      </c>
      <c r="T25" s="13">
        <f>SUMIF(Mercado_Receita!$T$2:$T$352,"44774B2Energia horáriaRuralServiço público de irrigação ruralNão se aplicaNão se aplicaPonta",Mercado_Receita!$N$2:$N$352)</f>
        <v>0</v>
      </c>
      <c r="U25" s="13">
        <f t="shared" si="0"/>
        <v>0</v>
      </c>
      <c r="V25" s="13"/>
      <c r="W25" s="13"/>
    </row>
    <row r="26" spans="1:23" ht="11.25" customHeight="1" x14ac:dyDescent="0.3">
      <c r="A26" s="74"/>
      <c r="B26" s="74"/>
      <c r="C26" s="74"/>
      <c r="D26" s="74"/>
      <c r="E26" s="74"/>
      <c r="F26" s="74"/>
      <c r="G26" s="13" t="s">
        <v>81</v>
      </c>
      <c r="H26" s="13" t="s">
        <v>69</v>
      </c>
      <c r="I26" s="13">
        <f>SUMIF(Mercado_Receita!$T$2:$T$352,"44440B2Energia horáriaRuralServiço público de irrigação ruralNão se aplicaNão se aplicaIntermediário",Mercado_Receita!$N$2:$N$352)</f>
        <v>0</v>
      </c>
      <c r="J26" s="13">
        <f>SUMIF(Mercado_Receita!$T$2:$T$352,"44470B2Energia horáriaRuralServiço público de irrigação ruralNão se aplicaNão se aplicaIntermediário",Mercado_Receita!$N$2:$N$352)</f>
        <v>0</v>
      </c>
      <c r="K26" s="13">
        <f>SUMIF(Mercado_Receita!$T$2:$T$352,"44501B2Energia horáriaRuralServiço público de irrigação ruralNão se aplicaNão se aplicaIntermediário",Mercado_Receita!$N$2:$N$352)</f>
        <v>0</v>
      </c>
      <c r="L26" s="13">
        <f>SUMIF(Mercado_Receita!$T$2:$T$352,"44531B2Energia horáriaRuralServiço público de irrigação ruralNão se aplicaNão se aplicaIntermediário",Mercado_Receita!$N$2:$N$352)</f>
        <v>0</v>
      </c>
      <c r="M26" s="13">
        <f>SUMIF(Mercado_Receita!$T$2:$T$352,"44562B2Energia horáriaRuralServiço público de irrigação ruralNão se aplicaNão se aplicaIntermediário",Mercado_Receita!$N$2:$N$352)</f>
        <v>0</v>
      </c>
      <c r="N26" s="13">
        <f>SUMIF(Mercado_Receita!$T$2:$T$352,"44593B2Energia horáriaRuralServiço público de irrigação ruralNão se aplicaNão se aplicaIntermediário",Mercado_Receita!$N$2:$N$352)</f>
        <v>0</v>
      </c>
      <c r="O26" s="13">
        <f>SUMIF(Mercado_Receita!$T$2:$T$352,"44621B2Energia horáriaRuralServiço público de irrigação ruralNão se aplicaNão se aplicaIntermediário",Mercado_Receita!$N$2:$N$352)</f>
        <v>0</v>
      </c>
      <c r="P26" s="13">
        <f>SUMIF(Mercado_Receita!$T$2:$T$352,"44652B2Energia horáriaRuralServiço público de irrigação ruralNão se aplicaNão se aplicaIntermediário",Mercado_Receita!$N$2:$N$352)</f>
        <v>0</v>
      </c>
      <c r="Q26" s="13">
        <f>SUMIF(Mercado_Receita!$T$2:$T$352,"44682B2Energia horáriaRuralServiço público de irrigação ruralNão se aplicaNão se aplicaIntermediário",Mercado_Receita!$N$2:$N$352)</f>
        <v>0</v>
      </c>
      <c r="R26" s="13">
        <f>SUMIF(Mercado_Receita!$T$2:$T$352,"44713B2Energia horáriaRuralServiço público de irrigação ruralNão se aplicaNão se aplicaIntermediário",Mercado_Receita!$N$2:$N$352)</f>
        <v>0</v>
      </c>
      <c r="S26" s="13">
        <f>SUMIF(Mercado_Receita!$T$2:$T$352,"44743B2Energia horáriaRuralServiço público de irrigação ruralNão se aplicaNão se aplicaIntermediário",Mercado_Receita!$N$2:$N$352)</f>
        <v>0</v>
      </c>
      <c r="T26" s="13">
        <f>SUMIF(Mercado_Receita!$T$2:$T$352,"44774B2Energia horáriaRuralServiço público de irrigação ruralNão se aplicaNão se aplicaIntermediário",Mercado_Receita!$N$2:$N$352)</f>
        <v>0</v>
      </c>
      <c r="U26" s="13">
        <f t="shared" si="0"/>
        <v>0</v>
      </c>
      <c r="V26" s="13"/>
      <c r="W26" s="13"/>
    </row>
    <row r="27" spans="1:23" ht="11.25" customHeight="1" x14ac:dyDescent="0.3">
      <c r="A27" s="74"/>
      <c r="B27" s="74"/>
      <c r="C27" s="74"/>
      <c r="D27" s="74"/>
      <c r="E27" s="74"/>
      <c r="F27" s="74"/>
      <c r="G27" s="13" t="s">
        <v>71</v>
      </c>
      <c r="H27" s="13" t="s">
        <v>69</v>
      </c>
      <c r="I27" s="13">
        <f>SUMIF(Mercado_Receita!$T$2:$T$352,"44440B2Energia horáriaRuralServiço público de irrigação ruralNão se aplicaNão se aplicaFora ponta",Mercado_Receita!$N$2:$N$352)</f>
        <v>0</v>
      </c>
      <c r="J27" s="13">
        <f>SUMIF(Mercado_Receita!$T$2:$T$352,"44470B2Energia horáriaRuralServiço público de irrigação ruralNão se aplicaNão se aplicaFora ponta",Mercado_Receita!$N$2:$N$352)</f>
        <v>0</v>
      </c>
      <c r="K27" s="13">
        <f>SUMIF(Mercado_Receita!$T$2:$T$352,"44501B2Energia horáriaRuralServiço público de irrigação ruralNão se aplicaNão se aplicaFora ponta",Mercado_Receita!$N$2:$N$352)</f>
        <v>0</v>
      </c>
      <c r="L27" s="13">
        <f>SUMIF(Mercado_Receita!$T$2:$T$352,"44531B2Energia horáriaRuralServiço público de irrigação ruralNão se aplicaNão se aplicaFora ponta",Mercado_Receita!$N$2:$N$352)</f>
        <v>0</v>
      </c>
      <c r="M27" s="13">
        <f>SUMIF(Mercado_Receita!$T$2:$T$352,"44562B2Energia horáriaRuralServiço público de irrigação ruralNão se aplicaNão se aplicaFora ponta",Mercado_Receita!$N$2:$N$352)</f>
        <v>0</v>
      </c>
      <c r="N27" s="13">
        <f>SUMIF(Mercado_Receita!$T$2:$T$352,"44593B2Energia horáriaRuralServiço público de irrigação ruralNão se aplicaNão se aplicaFora ponta",Mercado_Receita!$N$2:$N$352)</f>
        <v>0</v>
      </c>
      <c r="O27" s="13">
        <f>SUMIF(Mercado_Receita!$T$2:$T$352,"44621B2Energia horáriaRuralServiço público de irrigação ruralNão se aplicaNão se aplicaFora ponta",Mercado_Receita!$N$2:$N$352)</f>
        <v>0</v>
      </c>
      <c r="P27" s="13">
        <f>SUMIF(Mercado_Receita!$T$2:$T$352,"44652B2Energia horáriaRuralServiço público de irrigação ruralNão se aplicaNão se aplicaFora ponta",Mercado_Receita!$N$2:$N$352)</f>
        <v>0</v>
      </c>
      <c r="Q27" s="13">
        <f>SUMIF(Mercado_Receita!$T$2:$T$352,"44682B2Energia horáriaRuralServiço público de irrigação ruralNão se aplicaNão se aplicaFora ponta",Mercado_Receita!$N$2:$N$352)</f>
        <v>0</v>
      </c>
      <c r="R27" s="13">
        <f>SUMIF(Mercado_Receita!$T$2:$T$352,"44713B2Energia horáriaRuralServiço público de irrigação ruralNão se aplicaNão se aplicaFora ponta",Mercado_Receita!$N$2:$N$352)</f>
        <v>0</v>
      </c>
      <c r="S27" s="13">
        <f>SUMIF(Mercado_Receita!$T$2:$T$352,"44743B2Energia horáriaRuralServiço público de irrigação ruralNão se aplicaNão se aplicaFora ponta",Mercado_Receita!$N$2:$N$352)</f>
        <v>0</v>
      </c>
      <c r="T27" s="13">
        <f>SUMIF(Mercado_Receita!$T$2:$T$352,"44774B2Energia horáriaRuralServiço público de irrigação ruralNão se aplicaNão se aplicaFora ponta",Mercado_Receita!$N$2:$N$352)</f>
        <v>0</v>
      </c>
      <c r="U27" s="13">
        <f t="shared" si="0"/>
        <v>0</v>
      </c>
      <c r="V27" s="13"/>
      <c r="W27" s="13"/>
    </row>
    <row r="28" spans="1:23" ht="11.25" customHeight="1" x14ac:dyDescent="0.3">
      <c r="A28" s="74"/>
      <c r="B28" s="12" t="s">
        <v>82</v>
      </c>
      <c r="C28" s="12" t="s">
        <v>43</v>
      </c>
      <c r="D28" s="12" t="s">
        <v>86</v>
      </c>
      <c r="E28" s="12" t="s">
        <v>25</v>
      </c>
      <c r="F28" s="12" t="s">
        <v>25</v>
      </c>
      <c r="G28" s="13" t="s">
        <v>75</v>
      </c>
      <c r="H28" s="13" t="s">
        <v>69</v>
      </c>
      <c r="I28" s="13">
        <f>SUMIF(Mercado_Receita!$T$2:$T$352,"44440B2Energia convencionalRuralServiço público de irrigação ruralNão se aplicaNão se aplicaNão se aplica",Mercado_Receita!$N$2:$N$352)</f>
        <v>0</v>
      </c>
      <c r="J28" s="13">
        <f>SUMIF(Mercado_Receita!$T$2:$T$352,"44470B2Energia convencionalRuralServiço público de irrigação ruralNão se aplicaNão se aplicaNão se aplica",Mercado_Receita!$N$2:$N$352)</f>
        <v>0</v>
      </c>
      <c r="K28" s="13">
        <f>SUMIF(Mercado_Receita!$T$2:$T$352,"44501B2Energia convencionalRuralServiço público de irrigação ruralNão se aplicaNão se aplicaNão se aplica",Mercado_Receita!$N$2:$N$352)</f>
        <v>0</v>
      </c>
      <c r="L28" s="13">
        <f>SUMIF(Mercado_Receita!$T$2:$T$352,"44531B2Energia convencionalRuralServiço público de irrigação ruralNão se aplicaNão se aplicaNão se aplica",Mercado_Receita!$N$2:$N$352)</f>
        <v>0</v>
      </c>
      <c r="M28" s="13">
        <f>SUMIF(Mercado_Receita!$T$2:$T$352,"44562B2Energia convencionalRuralServiço público de irrigação ruralNão se aplicaNão se aplicaNão se aplica",Mercado_Receita!$N$2:$N$352)</f>
        <v>0</v>
      </c>
      <c r="N28" s="13">
        <f>SUMIF(Mercado_Receita!$T$2:$T$352,"44593B2Energia convencionalRuralServiço público de irrigação ruralNão se aplicaNão se aplicaNão se aplica",Mercado_Receita!$N$2:$N$352)</f>
        <v>0</v>
      </c>
      <c r="O28" s="13">
        <f>SUMIF(Mercado_Receita!$T$2:$T$352,"44621B2Energia convencionalRuralServiço público de irrigação ruralNão se aplicaNão se aplicaNão se aplica",Mercado_Receita!$N$2:$N$352)</f>
        <v>0</v>
      </c>
      <c r="P28" s="13">
        <f>SUMIF(Mercado_Receita!$T$2:$T$352,"44652B2Energia convencionalRuralServiço público de irrigação ruralNão se aplicaNão se aplicaNão se aplica",Mercado_Receita!$N$2:$N$352)</f>
        <v>0</v>
      </c>
      <c r="Q28" s="13">
        <f>SUMIF(Mercado_Receita!$T$2:$T$352,"44682B2Energia convencionalRuralServiço público de irrigação ruralNão se aplicaNão se aplicaNão se aplica",Mercado_Receita!$N$2:$N$352)</f>
        <v>0</v>
      </c>
      <c r="R28" s="13">
        <f>SUMIF(Mercado_Receita!$T$2:$T$352,"44713B2Energia convencionalRuralServiço público de irrigação ruralNão se aplicaNão se aplicaNão se aplica",Mercado_Receita!$N$2:$N$352)</f>
        <v>0</v>
      </c>
      <c r="S28" s="13">
        <f>SUMIF(Mercado_Receita!$T$2:$T$352,"44743B2Energia convencionalRuralServiço público de irrigação ruralNão se aplicaNão se aplicaNão se aplica",Mercado_Receita!$N$2:$N$352)</f>
        <v>0</v>
      </c>
      <c r="T28" s="13">
        <f>SUMIF(Mercado_Receita!$T$2:$T$352,"44774B2Energia convencionalRuralServiço público de irrigação ruralNão se aplicaNão se aplicaNão se aplica",Mercado_Receita!$N$2:$N$352)</f>
        <v>0</v>
      </c>
      <c r="U28" s="13">
        <f t="shared" si="0"/>
        <v>0</v>
      </c>
      <c r="V28" s="13"/>
      <c r="W28" s="13"/>
    </row>
    <row r="29" spans="1:23" ht="11.25" customHeight="1" x14ac:dyDescent="0.3">
      <c r="A29" s="74"/>
      <c r="B29" s="73" t="s">
        <v>83</v>
      </c>
      <c r="C29" s="73" t="s">
        <v>43</v>
      </c>
      <c r="D29" s="12" t="s">
        <v>25</v>
      </c>
      <c r="E29" s="12" t="s">
        <v>25</v>
      </c>
      <c r="F29" s="12" t="s">
        <v>25</v>
      </c>
      <c r="G29" s="13" t="s">
        <v>75</v>
      </c>
      <c r="H29" s="13" t="s">
        <v>69</v>
      </c>
      <c r="I29" s="13">
        <f>SUMIF(Mercado_Receita!$T$2:$T$352,"44440B2Energia convencional pré-pagamentoRuralNão se aplicaNão se aplicaNão se aplicaNão se aplica",Mercado_Receita!$N$2:$N$352)</f>
        <v>0</v>
      </c>
      <c r="J29" s="13">
        <f>SUMIF(Mercado_Receita!$T$2:$T$352,"44470B2Energia convencional pré-pagamentoRuralNão se aplicaNão se aplicaNão se aplicaNão se aplica",Mercado_Receita!$N$2:$N$352)</f>
        <v>0</v>
      </c>
      <c r="K29" s="13">
        <f>SUMIF(Mercado_Receita!$T$2:$T$352,"44501B2Energia convencional pré-pagamentoRuralNão se aplicaNão se aplicaNão se aplicaNão se aplica",Mercado_Receita!$N$2:$N$352)</f>
        <v>0</v>
      </c>
      <c r="L29" s="13">
        <f>SUMIF(Mercado_Receita!$T$2:$T$352,"44531B2Energia convencional pré-pagamentoRuralNão se aplicaNão se aplicaNão se aplicaNão se aplica",Mercado_Receita!$N$2:$N$352)</f>
        <v>0</v>
      </c>
      <c r="M29" s="13">
        <f>SUMIF(Mercado_Receita!$T$2:$T$352,"44562B2Energia convencional pré-pagamentoRuralNão se aplicaNão se aplicaNão se aplicaNão se aplica",Mercado_Receita!$N$2:$N$352)</f>
        <v>0</v>
      </c>
      <c r="N29" s="13">
        <f>SUMIF(Mercado_Receita!$T$2:$T$352,"44593B2Energia convencional pré-pagamentoRuralNão se aplicaNão se aplicaNão se aplicaNão se aplica",Mercado_Receita!$N$2:$N$352)</f>
        <v>0</v>
      </c>
      <c r="O29" s="13">
        <f>SUMIF(Mercado_Receita!$T$2:$T$352,"44621B2Energia convencional pré-pagamentoRuralNão se aplicaNão se aplicaNão se aplicaNão se aplica",Mercado_Receita!$N$2:$N$352)</f>
        <v>0</v>
      </c>
      <c r="P29" s="13">
        <f>SUMIF(Mercado_Receita!$T$2:$T$352,"44652B2Energia convencional pré-pagamentoRuralNão se aplicaNão se aplicaNão se aplicaNão se aplica",Mercado_Receita!$N$2:$N$352)</f>
        <v>0</v>
      </c>
      <c r="Q29" s="13">
        <f>SUMIF(Mercado_Receita!$T$2:$T$352,"44682B2Energia convencional pré-pagamentoRuralNão se aplicaNão se aplicaNão se aplicaNão se aplica",Mercado_Receita!$N$2:$N$352)</f>
        <v>0</v>
      </c>
      <c r="R29" s="13">
        <f>SUMIF(Mercado_Receita!$T$2:$T$352,"44713B2Energia convencional pré-pagamentoRuralNão se aplicaNão se aplicaNão se aplicaNão se aplica",Mercado_Receita!$N$2:$N$352)</f>
        <v>0</v>
      </c>
      <c r="S29" s="13">
        <f>SUMIF(Mercado_Receita!$T$2:$T$352,"44743B2Energia convencional pré-pagamentoRuralNão se aplicaNão se aplicaNão se aplicaNão se aplica",Mercado_Receita!$N$2:$N$352)</f>
        <v>0</v>
      </c>
      <c r="T29" s="13">
        <f>SUMIF(Mercado_Receita!$T$2:$T$352,"44774B2Energia convencional pré-pagamentoRuralNão se aplicaNão se aplicaNão se aplicaNão se aplica",Mercado_Receita!$N$2:$N$352)</f>
        <v>0</v>
      </c>
      <c r="U29" s="13">
        <f t="shared" si="0"/>
        <v>0</v>
      </c>
      <c r="V29" s="13"/>
      <c r="W29" s="13"/>
    </row>
    <row r="30" spans="1:23" ht="11.25" customHeight="1" x14ac:dyDescent="0.3">
      <c r="A30" s="74"/>
      <c r="B30" s="74"/>
      <c r="C30" s="74"/>
      <c r="D30" s="12" t="s">
        <v>85</v>
      </c>
      <c r="E30" s="12" t="s">
        <v>25</v>
      </c>
      <c r="F30" s="12" t="s">
        <v>25</v>
      </c>
      <c r="G30" s="13" t="s">
        <v>75</v>
      </c>
      <c r="H30" s="13" t="s">
        <v>69</v>
      </c>
      <c r="I30" s="13">
        <f>SUMIF(Mercado_Receita!$T$2:$T$352,"44440B2Energia convencional pré-pagamentoRuralCooperativa de eletrificação ruralNão se aplicaNão se aplicaNão se aplica",Mercado_Receita!$N$2:$N$352)</f>
        <v>0</v>
      </c>
      <c r="J30" s="13">
        <f>SUMIF(Mercado_Receita!$T$2:$T$352,"44470B2Energia convencional pré-pagamentoRuralCooperativa de eletrificação ruralNão se aplicaNão se aplicaNão se aplica",Mercado_Receita!$N$2:$N$352)</f>
        <v>0</v>
      </c>
      <c r="K30" s="13">
        <f>SUMIF(Mercado_Receita!$T$2:$T$352,"44501B2Energia convencional pré-pagamentoRuralCooperativa de eletrificação ruralNão se aplicaNão se aplicaNão se aplica",Mercado_Receita!$N$2:$N$352)</f>
        <v>0</v>
      </c>
      <c r="L30" s="13">
        <f>SUMIF(Mercado_Receita!$T$2:$T$352,"44531B2Energia convencional pré-pagamentoRuralCooperativa de eletrificação ruralNão se aplicaNão se aplicaNão se aplica",Mercado_Receita!$N$2:$N$352)</f>
        <v>0</v>
      </c>
      <c r="M30" s="13">
        <f>SUMIF(Mercado_Receita!$T$2:$T$352,"44562B2Energia convencional pré-pagamentoRuralCooperativa de eletrificação ruralNão se aplicaNão se aplicaNão se aplica",Mercado_Receita!$N$2:$N$352)</f>
        <v>0</v>
      </c>
      <c r="N30" s="13">
        <f>SUMIF(Mercado_Receita!$T$2:$T$352,"44593B2Energia convencional pré-pagamentoRuralCooperativa de eletrificação ruralNão se aplicaNão se aplicaNão se aplica",Mercado_Receita!$N$2:$N$352)</f>
        <v>0</v>
      </c>
      <c r="O30" s="13">
        <f>SUMIF(Mercado_Receita!$T$2:$T$352,"44621B2Energia convencional pré-pagamentoRuralCooperativa de eletrificação ruralNão se aplicaNão se aplicaNão se aplica",Mercado_Receita!$N$2:$N$352)</f>
        <v>0</v>
      </c>
      <c r="P30" s="13">
        <f>SUMIF(Mercado_Receita!$T$2:$T$352,"44652B2Energia convencional pré-pagamentoRuralCooperativa de eletrificação ruralNão se aplicaNão se aplicaNão se aplica",Mercado_Receita!$N$2:$N$352)</f>
        <v>0</v>
      </c>
      <c r="Q30" s="13">
        <f>SUMIF(Mercado_Receita!$T$2:$T$352,"44682B2Energia convencional pré-pagamentoRuralCooperativa de eletrificação ruralNão se aplicaNão se aplicaNão se aplica",Mercado_Receita!$N$2:$N$352)</f>
        <v>0</v>
      </c>
      <c r="R30" s="13">
        <f>SUMIF(Mercado_Receita!$T$2:$T$352,"44713B2Energia convencional pré-pagamentoRuralCooperativa de eletrificação ruralNão se aplicaNão se aplicaNão se aplica",Mercado_Receita!$N$2:$N$352)</f>
        <v>0</v>
      </c>
      <c r="S30" s="13">
        <f>SUMIF(Mercado_Receita!$T$2:$T$352,"44743B2Energia convencional pré-pagamentoRuralCooperativa de eletrificação ruralNão se aplicaNão se aplicaNão se aplica",Mercado_Receita!$N$2:$N$352)</f>
        <v>0</v>
      </c>
      <c r="T30" s="13">
        <f>SUMIF(Mercado_Receita!$T$2:$T$352,"44774B2Energia convencional pré-pagamentoRuralCooperativa de eletrificação ruralNão se aplicaNão se aplicaNão se aplica",Mercado_Receita!$N$2:$N$352)</f>
        <v>0</v>
      </c>
      <c r="U30" s="13">
        <f t="shared" si="0"/>
        <v>0</v>
      </c>
      <c r="V30" s="13"/>
      <c r="W30" s="13"/>
    </row>
    <row r="31" spans="1:23" ht="11.25" customHeight="1" x14ac:dyDescent="0.3">
      <c r="A31" s="74"/>
      <c r="B31" s="74"/>
      <c r="C31" s="74"/>
      <c r="D31" s="12" t="s">
        <v>86</v>
      </c>
      <c r="E31" s="12" t="s">
        <v>25</v>
      </c>
      <c r="F31" s="12" t="s">
        <v>25</v>
      </c>
      <c r="G31" s="13" t="s">
        <v>75</v>
      </c>
      <c r="H31" s="13" t="s">
        <v>69</v>
      </c>
      <c r="I31" s="13">
        <f>SUMIF(Mercado_Receita!$T$2:$T$352,"44440B2Energia convencional pré-pagamentoRuralServiço público de irrigação ruralNão se aplicaNão se aplicaNão se aplica",Mercado_Receita!$N$2:$N$352)</f>
        <v>0</v>
      </c>
      <c r="J31" s="13">
        <f>SUMIF(Mercado_Receita!$T$2:$T$352,"44470B2Energia convencional pré-pagamentoRuralServiço público de irrigação ruralNão se aplicaNão se aplicaNão se aplica",Mercado_Receita!$N$2:$N$352)</f>
        <v>0</v>
      </c>
      <c r="K31" s="13">
        <f>SUMIF(Mercado_Receita!$T$2:$T$352,"44501B2Energia convencional pré-pagamentoRuralServiço público de irrigação ruralNão se aplicaNão se aplicaNão se aplica",Mercado_Receita!$N$2:$N$352)</f>
        <v>0</v>
      </c>
      <c r="L31" s="13">
        <f>SUMIF(Mercado_Receita!$T$2:$T$352,"44531B2Energia convencional pré-pagamentoRuralServiço público de irrigação ruralNão se aplicaNão se aplicaNão se aplica",Mercado_Receita!$N$2:$N$352)</f>
        <v>0</v>
      </c>
      <c r="M31" s="13">
        <f>SUMIF(Mercado_Receita!$T$2:$T$352,"44562B2Energia convencional pré-pagamentoRuralServiço público de irrigação ruralNão se aplicaNão se aplicaNão se aplica",Mercado_Receita!$N$2:$N$352)</f>
        <v>0</v>
      </c>
      <c r="N31" s="13">
        <f>SUMIF(Mercado_Receita!$T$2:$T$352,"44593B2Energia convencional pré-pagamentoRuralServiço público de irrigação ruralNão se aplicaNão se aplicaNão se aplica",Mercado_Receita!$N$2:$N$352)</f>
        <v>0</v>
      </c>
      <c r="O31" s="13">
        <f>SUMIF(Mercado_Receita!$T$2:$T$352,"44621B2Energia convencional pré-pagamentoRuralServiço público de irrigação ruralNão se aplicaNão se aplicaNão se aplica",Mercado_Receita!$N$2:$N$352)</f>
        <v>0</v>
      </c>
      <c r="P31" s="13">
        <f>SUMIF(Mercado_Receita!$T$2:$T$352,"44652B2Energia convencional pré-pagamentoRuralServiço público de irrigação ruralNão se aplicaNão se aplicaNão se aplica",Mercado_Receita!$N$2:$N$352)</f>
        <v>0</v>
      </c>
      <c r="Q31" s="13">
        <f>SUMIF(Mercado_Receita!$T$2:$T$352,"44682B2Energia convencional pré-pagamentoRuralServiço público de irrigação ruralNão se aplicaNão se aplicaNão se aplica",Mercado_Receita!$N$2:$N$352)</f>
        <v>0</v>
      </c>
      <c r="R31" s="13">
        <f>SUMIF(Mercado_Receita!$T$2:$T$352,"44713B2Energia convencional pré-pagamentoRuralServiço público de irrigação ruralNão se aplicaNão se aplicaNão se aplica",Mercado_Receita!$N$2:$N$352)</f>
        <v>0</v>
      </c>
      <c r="S31" s="13">
        <f>SUMIF(Mercado_Receita!$T$2:$T$352,"44743B2Energia convencional pré-pagamentoRuralServiço público de irrigação ruralNão se aplicaNão se aplicaNão se aplica",Mercado_Receita!$N$2:$N$352)</f>
        <v>0</v>
      </c>
      <c r="T31" s="13">
        <f>SUMIF(Mercado_Receita!$T$2:$T$352,"44774B2Energia convencional pré-pagamentoRuralServiço público de irrigação ruralNão se aplicaNão se aplicaNão se aplica",Mercado_Receita!$N$2:$N$352)</f>
        <v>0</v>
      </c>
      <c r="U31" s="13">
        <f t="shared" si="0"/>
        <v>0</v>
      </c>
      <c r="V31" s="13"/>
      <c r="W31" s="13"/>
    </row>
    <row r="32" spans="1:23" ht="11.25" customHeight="1" x14ac:dyDescent="0.3">
      <c r="A32" s="73" t="s">
        <v>33</v>
      </c>
      <c r="B32" s="73" t="s">
        <v>68</v>
      </c>
      <c r="C32" s="73" t="s">
        <v>25</v>
      </c>
      <c r="D32" s="73" t="s">
        <v>25</v>
      </c>
      <c r="E32" s="73" t="s">
        <v>25</v>
      </c>
      <c r="F32" s="73" t="s">
        <v>25</v>
      </c>
      <c r="G32" s="13" t="s">
        <v>70</v>
      </c>
      <c r="H32" s="13" t="s">
        <v>69</v>
      </c>
      <c r="I32" s="13">
        <f>SUMIF(Mercado_Receita!$T$2:$T$352,"44440B3Energia horáriaNão se aplicaNão se aplicaNão se aplicaNão se aplicaPonta",Mercado_Receita!$N$2:$N$352)</f>
        <v>0.13400000000000001</v>
      </c>
      <c r="J32" s="13">
        <f>SUMIF(Mercado_Receita!$T$2:$T$352,"44470B3Energia horáriaNão se aplicaNão se aplicaNão se aplicaNão se aplicaPonta",Mercado_Receita!$N$2:$N$352)</f>
        <v>5.1999999999999998E-2</v>
      </c>
      <c r="K32" s="13">
        <f>SUMIF(Mercado_Receita!$T$2:$T$352,"44501B3Energia horáriaNão se aplicaNão se aplicaNão se aplicaNão se aplicaPonta",Mercado_Receita!$N$2:$N$352)</f>
        <v>0.14399999999999999</v>
      </c>
      <c r="L32" s="13">
        <f>SUMIF(Mercado_Receita!$T$2:$T$352,"44531B3Energia horáriaNão se aplicaNão se aplicaNão se aplicaNão se aplicaPonta",Mercado_Receita!$N$2:$N$352)</f>
        <v>5.1999999999999998E-2</v>
      </c>
      <c r="M32" s="13">
        <f>SUMIF(Mercado_Receita!$T$2:$T$352,"44562B3Energia horáriaNão se aplicaNão se aplicaNão se aplicaNão se aplicaPonta",Mercado_Receita!$N$2:$N$352)</f>
        <v>7.2999999999999995E-2</v>
      </c>
      <c r="N32" s="13">
        <f>SUMIF(Mercado_Receita!$T$2:$T$352,"44593B3Energia horáriaNão se aplicaNão se aplicaNão se aplicaNão se aplicaPonta",Mercado_Receita!$N$2:$N$352)</f>
        <v>7.1999999999999995E-2</v>
      </c>
      <c r="O32" s="13">
        <f>SUMIF(Mercado_Receita!$T$2:$T$352,"44621B3Energia horáriaNão se aplicaNão se aplicaNão se aplicaNão se aplicaPonta",Mercado_Receita!$N$2:$N$352)</f>
        <v>7.2999999999999995E-2</v>
      </c>
      <c r="P32" s="13">
        <f>SUMIF(Mercado_Receita!$T$2:$T$352,"44652B3Energia horáriaNão se aplicaNão se aplicaNão se aplicaNão se aplicaPonta",Mercado_Receita!$N$2:$N$352)</f>
        <v>0.10299999999999999</v>
      </c>
      <c r="Q32" s="13">
        <f>SUMIF(Mercado_Receita!$T$2:$T$352,"44682B3Energia horáriaNão se aplicaNão se aplicaNão se aplicaNão se aplicaPonta",Mercado_Receita!$N$2:$N$352)</f>
        <v>3.2000000000000001E-2</v>
      </c>
      <c r="R32" s="13">
        <f>SUMIF(Mercado_Receita!$T$2:$T$352,"44713B3Energia horáriaNão se aplicaNão se aplicaNão se aplicaNão se aplicaPonta",Mercado_Receita!$N$2:$N$352)</f>
        <v>9.1999999999999998E-2</v>
      </c>
      <c r="S32" s="13">
        <f>SUMIF(Mercado_Receita!$T$2:$T$352,"44743B3Energia horáriaNão se aplicaNão se aplicaNão se aplicaNão se aplicaPonta",Mercado_Receita!$N$2:$N$352)</f>
        <v>0.113</v>
      </c>
      <c r="T32" s="13">
        <f>SUMIF(Mercado_Receita!$T$2:$T$352,"44774B3Energia horáriaNão se aplicaNão se aplicaNão se aplicaNão se aplicaPonta",Mercado_Receita!$N$2:$N$352)</f>
        <v>0.113</v>
      </c>
      <c r="U32" s="13">
        <f t="shared" si="0"/>
        <v>1.0529999999999999</v>
      </c>
      <c r="V32" s="13"/>
      <c r="W32" s="13"/>
    </row>
    <row r="33" spans="1:23" ht="11.25" customHeight="1" x14ac:dyDescent="0.3">
      <c r="A33" s="74"/>
      <c r="B33" s="74"/>
      <c r="C33" s="74"/>
      <c r="D33" s="74"/>
      <c r="E33" s="74"/>
      <c r="F33" s="74"/>
      <c r="G33" s="13" t="s">
        <v>81</v>
      </c>
      <c r="H33" s="13" t="s">
        <v>69</v>
      </c>
      <c r="I33" s="13">
        <f>SUMIF(Mercado_Receita!$T$2:$T$352,"44440B3Energia horáriaNão se aplicaNão se aplicaNão se aplicaNão se aplicaIntermediário",Mercado_Receita!$N$2:$N$352)</f>
        <v>0.14399999999999999</v>
      </c>
      <c r="J33" s="13">
        <f>SUMIF(Mercado_Receita!$T$2:$T$352,"44470B3Energia horáriaNão se aplicaNão se aplicaNão se aplicaNão se aplicaIntermediário",Mercado_Receita!$N$2:$N$352)</f>
        <v>0.33</v>
      </c>
      <c r="K33" s="13">
        <f>SUMIF(Mercado_Receita!$T$2:$T$352,"44501B3Energia horáriaNão se aplicaNão se aplicaNão se aplicaNão se aplicaIntermediário",Mercado_Receita!$N$2:$N$352)</f>
        <v>0.14399999999999999</v>
      </c>
      <c r="L33" s="13">
        <f>SUMIF(Mercado_Receita!$T$2:$T$352,"44531B3Energia horáriaNão se aplicaNão se aplicaNão se aplicaNão se aplicaIntermediário",Mercado_Receita!$N$2:$N$352)</f>
        <v>0.185</v>
      </c>
      <c r="M33" s="13">
        <f>SUMIF(Mercado_Receita!$T$2:$T$352,"44562B3Energia horáriaNão se aplicaNão se aplicaNão se aplicaNão se aplicaIntermediário",Mercado_Receita!$N$2:$N$352)</f>
        <v>0.10299999999999999</v>
      </c>
      <c r="N33" s="13">
        <f>SUMIF(Mercado_Receita!$T$2:$T$352,"44593B3Energia horáriaNão se aplicaNão se aplicaNão se aplicaNão se aplicaIntermediário",Mercado_Receita!$N$2:$N$352)</f>
        <v>0.19600000000000001</v>
      </c>
      <c r="O33" s="13">
        <f>SUMIF(Mercado_Receita!$T$2:$T$352,"44621B3Energia horáriaNão se aplicaNão se aplicaNão se aplicaNão se aplicaIntermediário",Mercado_Receita!$N$2:$N$352)</f>
        <v>0.185</v>
      </c>
      <c r="P33" s="13">
        <f>SUMIF(Mercado_Receita!$T$2:$T$352,"44652B3Energia horáriaNão se aplicaNão se aplicaNão se aplicaNão se aplicaIntermediário",Mercado_Receita!$N$2:$N$352)</f>
        <v>0.22600000000000001</v>
      </c>
      <c r="Q33" s="13">
        <f>SUMIF(Mercado_Receita!$T$2:$T$352,"44682B3Energia horáriaNão se aplicaNão se aplicaNão se aplicaNão se aplicaIntermediário",Mercado_Receita!$N$2:$N$352)</f>
        <v>0.19600000000000001</v>
      </c>
      <c r="R33" s="13">
        <f>SUMIF(Mercado_Receita!$T$2:$T$352,"44713B3Energia horáriaNão se aplicaNão se aplicaNão se aplicaNão se aplicaIntermediário",Mercado_Receita!$N$2:$N$352)</f>
        <v>0.23599999999999999</v>
      </c>
      <c r="S33" s="13">
        <f>SUMIF(Mercado_Receita!$T$2:$T$352,"44743B3Energia horáriaNão se aplicaNão se aplicaNão se aplicaNão se aplicaIntermediário",Mercado_Receita!$N$2:$N$352)</f>
        <v>0.126</v>
      </c>
      <c r="T33" s="13">
        <f>SUMIF(Mercado_Receita!$T$2:$T$352,"44774B3Energia horáriaNão se aplicaNão se aplicaNão se aplicaNão se aplicaIntermediário",Mercado_Receita!$N$2:$N$352)</f>
        <v>0.126</v>
      </c>
      <c r="U33" s="13">
        <f t="shared" si="0"/>
        <v>2.1969999999999996</v>
      </c>
      <c r="V33" s="13"/>
      <c r="W33" s="13"/>
    </row>
    <row r="34" spans="1:23" ht="11.25" customHeight="1" x14ac:dyDescent="0.3">
      <c r="A34" s="74"/>
      <c r="B34" s="74"/>
      <c r="C34" s="74"/>
      <c r="D34" s="74"/>
      <c r="E34" s="74"/>
      <c r="F34" s="74"/>
      <c r="G34" s="13" t="s">
        <v>71</v>
      </c>
      <c r="H34" s="13" t="s">
        <v>69</v>
      </c>
      <c r="I34" s="13">
        <f>SUMIF(Mercado_Receita!$T$2:$T$352,"44440B3Energia horáriaNão se aplicaNão se aplicaNão se aplicaNão se aplicaFora ponta",Mercado_Receita!$N$2:$N$352)</f>
        <v>28.125</v>
      </c>
      <c r="J34" s="13">
        <f>SUMIF(Mercado_Receita!$T$2:$T$352,"44470B3Energia horáriaNão se aplicaNão se aplicaNão se aplicaNão se aplicaFora ponta",Mercado_Receita!$N$2:$N$352)</f>
        <v>33.966000000000001</v>
      </c>
      <c r="K34" s="13">
        <f>SUMIF(Mercado_Receita!$T$2:$T$352,"44501B3Energia horáriaNão se aplicaNão se aplicaNão se aplicaNão se aplicaFora ponta",Mercado_Receita!$N$2:$N$352)</f>
        <v>34.052</v>
      </c>
      <c r="L34" s="13">
        <f>SUMIF(Mercado_Receita!$T$2:$T$352,"44531B3Energia horáriaNão se aplicaNão se aplicaNão se aplicaNão se aplicaFora ponta",Mercado_Receita!$N$2:$N$352)</f>
        <v>27.806999999999999</v>
      </c>
      <c r="M34" s="13">
        <f>SUMIF(Mercado_Receita!$T$2:$T$352,"44562B3Energia horáriaNão se aplicaNão se aplicaNão se aplicaNão se aplicaFora ponta",Mercado_Receita!$N$2:$N$352)</f>
        <v>21.280999999999999</v>
      </c>
      <c r="N34" s="13">
        <f>SUMIF(Mercado_Receita!$T$2:$T$352,"44593B3Energia horáriaNão se aplicaNão se aplicaNão se aplicaNão se aplicaFora ponta",Mercado_Receita!$N$2:$N$352)</f>
        <v>34.11</v>
      </c>
      <c r="O34" s="13">
        <f>SUMIF(Mercado_Receita!$T$2:$T$352,"44621B3Energia horáriaNão se aplicaNão se aplicaNão se aplicaNão se aplicaFora ponta",Mercado_Receita!$N$2:$N$352)</f>
        <v>35.738</v>
      </c>
      <c r="P34" s="13">
        <f>SUMIF(Mercado_Receita!$T$2:$T$352,"44652B3Energia horáriaNão se aplicaNão se aplicaNão se aplicaNão se aplicaFora ponta",Mercado_Receita!$N$2:$N$352)</f>
        <v>29.988</v>
      </c>
      <c r="Q34" s="13">
        <f>SUMIF(Mercado_Receita!$T$2:$T$352,"44682B3Energia horáriaNão se aplicaNão se aplicaNão se aplicaNão se aplicaFora ponta",Mercado_Receita!$N$2:$N$352)</f>
        <v>27.564</v>
      </c>
      <c r="R34" s="13">
        <f>SUMIF(Mercado_Receita!$T$2:$T$352,"44713B3Energia horáriaNão se aplicaNão se aplicaNão se aplicaNão se aplicaFora ponta",Mercado_Receita!$N$2:$N$352)</f>
        <v>34.933</v>
      </c>
      <c r="S34" s="13">
        <f>SUMIF(Mercado_Receita!$T$2:$T$352,"44743B3Energia horáriaNão se aplicaNão se aplicaNão se aplicaNão se aplicaFora ponta",Mercado_Receita!$N$2:$N$352)</f>
        <v>32.753</v>
      </c>
      <c r="T34" s="13">
        <f>SUMIF(Mercado_Receita!$T$2:$T$352,"44774B3Energia horáriaNão se aplicaNão se aplicaNão se aplicaNão se aplicaFora ponta",Mercado_Receita!$N$2:$N$352)</f>
        <v>32.753</v>
      </c>
      <c r="U34" s="13">
        <f t="shared" si="0"/>
        <v>373.07</v>
      </c>
      <c r="V34" s="13"/>
      <c r="W34" s="13"/>
    </row>
    <row r="35" spans="1:23" ht="11.25" customHeight="1" x14ac:dyDescent="0.3">
      <c r="A35" s="74"/>
      <c r="B35" s="12" t="s">
        <v>82</v>
      </c>
      <c r="C35" s="12" t="s">
        <v>25</v>
      </c>
      <c r="D35" s="12" t="s">
        <v>25</v>
      </c>
      <c r="E35" s="12" t="s">
        <v>25</v>
      </c>
      <c r="F35" s="12" t="s">
        <v>25</v>
      </c>
      <c r="G35" s="13" t="s">
        <v>75</v>
      </c>
      <c r="H35" s="13" t="s">
        <v>69</v>
      </c>
      <c r="I35" s="13">
        <f>SUMIF(Mercado_Receita!$T$2:$T$352,"44440B3Energia convencionalNão se aplicaNão se aplicaNão se aplicaNão se aplicaNão se aplica",Mercado_Receita!$N$2:$N$352)</f>
        <v>255.00399999999999</v>
      </c>
      <c r="J35" s="13">
        <f>SUMIF(Mercado_Receita!$T$2:$T$352,"44470B3Energia convencionalNão se aplicaNão se aplicaNão se aplicaNão se aplicaNão se aplica",Mercado_Receita!$N$2:$N$352)</f>
        <v>284.77799999999996</v>
      </c>
      <c r="K35" s="13">
        <f>SUMIF(Mercado_Receita!$T$2:$T$352,"44501B3Energia convencionalNão se aplicaNão se aplicaNão se aplicaNão se aplicaNão se aplica",Mercado_Receita!$N$2:$N$352)</f>
        <v>263.77799999999996</v>
      </c>
      <c r="L35" s="13">
        <f>SUMIF(Mercado_Receita!$T$2:$T$352,"44531B3Energia convencionalNão se aplicaNão se aplicaNão se aplicaNão se aplicaNão se aplica",Mercado_Receita!$N$2:$N$352)</f>
        <v>248.60599999999999</v>
      </c>
      <c r="M35" s="13">
        <f>SUMIF(Mercado_Receita!$T$2:$T$352,"44562B3Energia convencionalNão se aplicaNão se aplicaNão se aplicaNão se aplicaNão se aplica",Mercado_Receita!$N$2:$N$352)</f>
        <v>233.285</v>
      </c>
      <c r="N35" s="13">
        <f>SUMIF(Mercado_Receita!$T$2:$T$352,"44593B3Energia convencionalNão se aplicaNão se aplicaNão se aplicaNão se aplicaNão se aplica",Mercado_Receita!$N$2:$N$352)</f>
        <v>301.39299999999997</v>
      </c>
      <c r="O35" s="13">
        <f>SUMIF(Mercado_Receita!$T$2:$T$352,"44621B3Energia convencionalNão se aplicaNão se aplicaNão se aplicaNão se aplicaNão se aplica",Mercado_Receita!$N$2:$N$352)</f>
        <v>290.54300000000001</v>
      </c>
      <c r="P35" s="13">
        <f>SUMIF(Mercado_Receita!$T$2:$T$352,"44652B3Energia convencionalNão se aplicaNão se aplicaNão se aplicaNão se aplicaNão se aplica",Mercado_Receita!$N$2:$N$352)</f>
        <v>268.38200000000001</v>
      </c>
      <c r="Q35" s="13">
        <f>SUMIF(Mercado_Receita!$T$2:$T$352,"44682B3Energia convencionalNão se aplicaNão se aplicaNão se aplicaNão se aplicaNão se aplica",Mercado_Receita!$N$2:$N$352)</f>
        <v>270.73099999999999</v>
      </c>
      <c r="R35" s="13">
        <f>SUMIF(Mercado_Receita!$T$2:$T$352,"44713B3Energia convencionalNão se aplicaNão se aplicaNão se aplicaNão se aplicaNão se aplica",Mercado_Receita!$N$2:$N$352)</f>
        <v>289.565</v>
      </c>
      <c r="S35" s="13">
        <f>SUMIF(Mercado_Receita!$T$2:$T$352,"44743B3Energia convencionalNão se aplicaNão se aplicaNão se aplicaNão se aplicaNão se aplica",Mercado_Receita!$N$2:$N$352)</f>
        <v>246.744</v>
      </c>
      <c r="T35" s="13">
        <f>SUMIF(Mercado_Receita!$T$2:$T$352,"44774B3Energia convencionalNão se aplicaNão se aplicaNão se aplicaNão se aplicaNão se aplica",Mercado_Receita!$N$2:$N$352)</f>
        <v>246.744</v>
      </c>
      <c r="U35" s="13">
        <f t="shared" si="0"/>
        <v>3199.5530000000003</v>
      </c>
      <c r="V35" s="13"/>
      <c r="W35" s="13"/>
    </row>
    <row r="36" spans="1:23" ht="11.25" customHeight="1" x14ac:dyDescent="0.3">
      <c r="A36" s="74"/>
      <c r="B36" s="12" t="s">
        <v>83</v>
      </c>
      <c r="C36" s="12" t="s">
        <v>25</v>
      </c>
      <c r="D36" s="12" t="s">
        <v>25</v>
      </c>
      <c r="E36" s="12" t="s">
        <v>25</v>
      </c>
      <c r="F36" s="12" t="s">
        <v>25</v>
      </c>
      <c r="G36" s="13" t="s">
        <v>75</v>
      </c>
      <c r="H36" s="13" t="s">
        <v>69</v>
      </c>
      <c r="I36" s="13">
        <f>SUMIF(Mercado_Receita!$T$2:$T$352,"44440B3Energia convencional pré-pagamentoNão se aplicaNão se aplicaNão se aplicaNão se aplicaNão se aplica",Mercado_Receita!$N$2:$N$352)</f>
        <v>0</v>
      </c>
      <c r="J36" s="13">
        <f>SUMIF(Mercado_Receita!$T$2:$T$352,"44470B3Energia convencional pré-pagamentoNão se aplicaNão se aplicaNão se aplicaNão se aplicaNão se aplica",Mercado_Receita!$N$2:$N$352)</f>
        <v>0</v>
      </c>
      <c r="K36" s="13">
        <f>SUMIF(Mercado_Receita!$T$2:$T$352,"44501B3Energia convencional pré-pagamentoNão se aplicaNão se aplicaNão se aplicaNão se aplicaNão se aplica",Mercado_Receita!$N$2:$N$352)</f>
        <v>0</v>
      </c>
      <c r="L36" s="13">
        <f>SUMIF(Mercado_Receita!$T$2:$T$352,"44531B3Energia convencional pré-pagamentoNão se aplicaNão se aplicaNão se aplicaNão se aplicaNão se aplica",Mercado_Receita!$N$2:$N$352)</f>
        <v>0</v>
      </c>
      <c r="M36" s="13">
        <f>SUMIF(Mercado_Receita!$T$2:$T$352,"44562B3Energia convencional pré-pagamentoNão se aplicaNão se aplicaNão se aplicaNão se aplicaNão se aplica",Mercado_Receita!$N$2:$N$352)</f>
        <v>0</v>
      </c>
      <c r="N36" s="13">
        <f>SUMIF(Mercado_Receita!$T$2:$T$352,"44593B3Energia convencional pré-pagamentoNão se aplicaNão se aplicaNão se aplicaNão se aplicaNão se aplica",Mercado_Receita!$N$2:$N$352)</f>
        <v>0</v>
      </c>
      <c r="O36" s="13">
        <f>SUMIF(Mercado_Receita!$T$2:$T$352,"44621B3Energia convencional pré-pagamentoNão se aplicaNão se aplicaNão se aplicaNão se aplicaNão se aplica",Mercado_Receita!$N$2:$N$352)</f>
        <v>0</v>
      </c>
      <c r="P36" s="13">
        <f>SUMIF(Mercado_Receita!$T$2:$T$352,"44652B3Energia convencional pré-pagamentoNão se aplicaNão se aplicaNão se aplicaNão se aplicaNão se aplica",Mercado_Receita!$N$2:$N$352)</f>
        <v>0</v>
      </c>
      <c r="Q36" s="13">
        <f>SUMIF(Mercado_Receita!$T$2:$T$352,"44682B3Energia convencional pré-pagamentoNão se aplicaNão se aplicaNão se aplicaNão se aplicaNão se aplica",Mercado_Receita!$N$2:$N$352)</f>
        <v>0</v>
      </c>
      <c r="R36" s="13">
        <f>SUMIF(Mercado_Receita!$T$2:$T$352,"44713B3Energia convencional pré-pagamentoNão se aplicaNão se aplicaNão se aplicaNão se aplicaNão se aplica",Mercado_Receita!$N$2:$N$352)</f>
        <v>0</v>
      </c>
      <c r="S36" s="13">
        <f>SUMIF(Mercado_Receita!$T$2:$T$352,"44743B3Energia convencional pré-pagamentoNão se aplicaNão se aplicaNão se aplicaNão se aplicaNão se aplica",Mercado_Receita!$N$2:$N$352)</f>
        <v>0</v>
      </c>
      <c r="T36" s="13">
        <f>SUMIF(Mercado_Receita!$T$2:$T$352,"44774B3Energia convencional pré-pagamentoNão se aplicaNão se aplicaNão se aplicaNão se aplicaNão se aplica",Mercado_Receita!$N$2:$N$352)</f>
        <v>0</v>
      </c>
      <c r="U36" s="13">
        <f t="shared" si="0"/>
        <v>0</v>
      </c>
      <c r="V36" s="13"/>
      <c r="W36" s="13"/>
    </row>
    <row r="37" spans="1:23" ht="11.25" customHeight="1" x14ac:dyDescent="0.3">
      <c r="A37" s="73" t="s">
        <v>45</v>
      </c>
      <c r="B37" s="73" t="s">
        <v>82</v>
      </c>
      <c r="C37" s="73" t="s">
        <v>46</v>
      </c>
      <c r="D37" s="12" t="s">
        <v>47</v>
      </c>
      <c r="E37" s="12" t="s">
        <v>25</v>
      </c>
      <c r="F37" s="12" t="s">
        <v>25</v>
      </c>
      <c r="G37" s="13" t="s">
        <v>75</v>
      </c>
      <c r="H37" s="13" t="s">
        <v>69</v>
      </c>
      <c r="I37" s="13">
        <f>SUMIF(Mercado_Receita!$T$2:$T$352,"44440B4Energia convencionalIluminação públicaIluminação pública – B4aNão se aplicaNão se aplicaNão se aplica",Mercado_Receita!$N$2:$N$352)</f>
        <v>83.29</v>
      </c>
      <c r="J37" s="13">
        <f>SUMIF(Mercado_Receita!$T$2:$T$352,"44470B4Energia convencionalIluminação públicaIluminação pública – B4aNão se aplicaNão se aplicaNão se aplica",Mercado_Receita!$N$2:$N$352)</f>
        <v>83.29</v>
      </c>
      <c r="K37" s="13">
        <f>SUMIF(Mercado_Receita!$T$2:$T$352,"44501B4Energia convencionalIluminação públicaIluminação pública – B4aNão se aplicaNão se aplicaNão se aplica",Mercado_Receita!$N$2:$N$352)</f>
        <v>83.29</v>
      </c>
      <c r="L37" s="13">
        <f>SUMIF(Mercado_Receita!$T$2:$T$352,"44531B4Energia convencionalIluminação públicaIluminação pública – B4aNão se aplicaNão se aplicaNão se aplica",Mercado_Receita!$N$2:$N$352)</f>
        <v>83.29</v>
      </c>
      <c r="M37" s="13">
        <f>SUMIF(Mercado_Receita!$T$2:$T$352,"44562B4Energia convencionalIluminação públicaIluminação pública – B4aNão se aplicaNão se aplicaNão se aplica",Mercado_Receita!$N$2:$N$352)</f>
        <v>84.697999999999993</v>
      </c>
      <c r="N37" s="13">
        <f>SUMIF(Mercado_Receita!$T$2:$T$352,"44593B4Energia convencionalIluminação públicaIluminação pública – B4aNão se aplicaNão se aplicaNão se aplica",Mercado_Receita!$N$2:$N$352)</f>
        <v>84.697999999999993</v>
      </c>
      <c r="O37" s="13">
        <f>SUMIF(Mercado_Receita!$T$2:$T$352,"44621B4Energia convencionalIluminação públicaIluminação pública – B4aNão se aplicaNão se aplicaNão se aplica",Mercado_Receita!$N$2:$N$352)</f>
        <v>84.697999999999993</v>
      </c>
      <c r="P37" s="13">
        <f>SUMIF(Mercado_Receita!$T$2:$T$352,"44652B4Energia convencionalIluminação públicaIluminação pública – B4aNão se aplicaNão se aplicaNão se aplica",Mercado_Receita!$N$2:$N$352)</f>
        <v>84.697999999999993</v>
      </c>
      <c r="Q37" s="13">
        <f>SUMIF(Mercado_Receita!$T$2:$T$352,"44682B4Energia convencionalIluminação públicaIluminação pública – B4aNão se aplicaNão se aplicaNão se aplica",Mercado_Receita!$N$2:$N$352)</f>
        <v>84.697999999999993</v>
      </c>
      <c r="R37" s="13">
        <f>SUMIF(Mercado_Receita!$T$2:$T$352,"44713B4Energia convencionalIluminação públicaIluminação pública – B4aNão se aplicaNão se aplicaNão se aplica",Mercado_Receita!$N$2:$N$352)</f>
        <v>84.697999999999993</v>
      </c>
      <c r="S37" s="13">
        <f>SUMIF(Mercado_Receita!$T$2:$T$352,"44743B4Energia convencionalIluminação públicaIluminação pública – B4aNão se aplicaNão se aplicaNão se aplica",Mercado_Receita!$N$2:$N$352)</f>
        <v>84.697999999999993</v>
      </c>
      <c r="T37" s="13">
        <f>SUMIF(Mercado_Receita!$T$2:$T$352,"44774B4Energia convencionalIluminação públicaIluminação pública – B4aNão se aplicaNão se aplicaNão se aplica",Mercado_Receita!$N$2:$N$352)</f>
        <v>84.697999999999993</v>
      </c>
      <c r="U37" s="13">
        <f t="shared" si="0"/>
        <v>1010.7439999999999</v>
      </c>
      <c r="V37" s="13"/>
      <c r="W37" s="13"/>
    </row>
    <row r="38" spans="1:23" ht="11.25" customHeight="1" x14ac:dyDescent="0.3">
      <c r="A38" s="74"/>
      <c r="B38" s="74"/>
      <c r="C38" s="74"/>
      <c r="D38" s="13" t="s">
        <v>87</v>
      </c>
      <c r="E38" s="13" t="s">
        <v>25</v>
      </c>
      <c r="F38" s="13" t="s">
        <v>25</v>
      </c>
      <c r="G38" s="13" t="s">
        <v>75</v>
      </c>
      <c r="H38" s="13" t="s">
        <v>69</v>
      </c>
      <c r="I38" s="13">
        <f>SUMIF(Mercado_Receita!$T$2:$T$352,"44440B4Energia convencionalIluminação públicaIluminação pública – B4bNão se aplicaNão se aplicaNão se aplica",Mercado_Receita!$N$2:$N$352)</f>
        <v>0</v>
      </c>
      <c r="J38" s="13">
        <f>SUMIF(Mercado_Receita!$T$2:$T$352,"44470B4Energia convencionalIluminação públicaIluminação pública – B4bNão se aplicaNão se aplicaNão se aplica",Mercado_Receita!$N$2:$N$352)</f>
        <v>0</v>
      </c>
      <c r="K38" s="13">
        <f>SUMIF(Mercado_Receita!$T$2:$T$352,"44501B4Energia convencionalIluminação públicaIluminação pública – B4bNão se aplicaNão se aplicaNão se aplica",Mercado_Receita!$N$2:$N$352)</f>
        <v>0</v>
      </c>
      <c r="L38" s="13">
        <f>SUMIF(Mercado_Receita!$T$2:$T$352,"44531B4Energia convencionalIluminação públicaIluminação pública – B4bNão se aplicaNão se aplicaNão se aplica",Mercado_Receita!$N$2:$N$352)</f>
        <v>0</v>
      </c>
      <c r="M38" s="13">
        <f>SUMIF(Mercado_Receita!$T$2:$T$352,"44562B4Energia convencionalIluminação públicaIluminação pública – B4bNão se aplicaNão se aplicaNão se aplica",Mercado_Receita!$N$2:$N$352)</f>
        <v>0</v>
      </c>
      <c r="N38" s="13">
        <f>SUMIF(Mercado_Receita!$T$2:$T$352,"44593B4Energia convencionalIluminação públicaIluminação pública – B4bNão se aplicaNão se aplicaNão se aplica",Mercado_Receita!$N$2:$N$352)</f>
        <v>0</v>
      </c>
      <c r="O38" s="13">
        <f>SUMIF(Mercado_Receita!$T$2:$T$352,"44621B4Energia convencionalIluminação públicaIluminação pública – B4bNão se aplicaNão se aplicaNão se aplica",Mercado_Receita!$N$2:$N$352)</f>
        <v>0</v>
      </c>
      <c r="P38" s="13">
        <f>SUMIF(Mercado_Receita!$T$2:$T$352,"44652B4Energia convencionalIluminação públicaIluminação pública – B4bNão se aplicaNão se aplicaNão se aplica",Mercado_Receita!$N$2:$N$352)</f>
        <v>0</v>
      </c>
      <c r="Q38" s="13">
        <f>SUMIF(Mercado_Receita!$T$2:$T$352,"44682B4Energia convencionalIluminação públicaIluminação pública – B4bNão se aplicaNão se aplicaNão se aplica",Mercado_Receita!$N$2:$N$352)</f>
        <v>0</v>
      </c>
      <c r="R38" s="13">
        <f>SUMIF(Mercado_Receita!$T$2:$T$352,"44713B4Energia convencionalIluminação públicaIluminação pública – B4bNão se aplicaNão se aplicaNão se aplica",Mercado_Receita!$N$2:$N$352)</f>
        <v>0</v>
      </c>
      <c r="S38" s="13">
        <f>SUMIF(Mercado_Receita!$T$2:$T$352,"44743B4Energia convencionalIluminação públicaIluminação pública – B4bNão se aplicaNão se aplicaNão se aplica",Mercado_Receita!$N$2:$N$352)</f>
        <v>0</v>
      </c>
      <c r="T38" s="13">
        <f>SUMIF(Mercado_Receita!$T$2:$T$352,"44774B4Energia convencionalIluminação públicaIluminação pública – B4bNão se aplicaNão se aplicaNão se aplica",Mercado_Receita!$N$2:$N$352)</f>
        <v>0</v>
      </c>
      <c r="U38" s="13">
        <f t="shared" si="0"/>
        <v>0</v>
      </c>
      <c r="V38" s="13"/>
      <c r="W38" s="13"/>
    </row>
    <row r="39" spans="1:23" ht="11.25" customHeight="1" x14ac:dyDescent="0.3">
      <c r="A39" s="75" t="s">
        <v>422</v>
      </c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13"/>
      <c r="W39" s="13"/>
    </row>
  </sheetData>
  <mergeCells count="44">
    <mergeCell ref="A37:A38"/>
    <mergeCell ref="B37:B38"/>
    <mergeCell ref="C37:C38"/>
    <mergeCell ref="A39:U39"/>
    <mergeCell ref="C29:C31"/>
    <mergeCell ref="B29:B31"/>
    <mergeCell ref="A17:A31"/>
    <mergeCell ref="F32:F34"/>
    <mergeCell ref="E32:E34"/>
    <mergeCell ref="D32:D34"/>
    <mergeCell ref="C32:C34"/>
    <mergeCell ref="B32:B34"/>
    <mergeCell ref="A32:A36"/>
    <mergeCell ref="F21:F23"/>
    <mergeCell ref="E21:E23"/>
    <mergeCell ref="D21:D23"/>
    <mergeCell ref="C21:C23"/>
    <mergeCell ref="B21:B23"/>
    <mergeCell ref="F25:F27"/>
    <mergeCell ref="E25:E27"/>
    <mergeCell ref="D25:D27"/>
    <mergeCell ref="C25:C27"/>
    <mergeCell ref="B25:B27"/>
    <mergeCell ref="C12:C16"/>
    <mergeCell ref="B12:B16"/>
    <mergeCell ref="A4:A16"/>
    <mergeCell ref="F17:F19"/>
    <mergeCell ref="E17:E19"/>
    <mergeCell ref="D17:D19"/>
    <mergeCell ref="C17:C19"/>
    <mergeCell ref="B17:B19"/>
    <mergeCell ref="F4:F6"/>
    <mergeCell ref="E4:E6"/>
    <mergeCell ref="D4:D6"/>
    <mergeCell ref="C4:C6"/>
    <mergeCell ref="B4:B6"/>
    <mergeCell ref="C7:C11"/>
    <mergeCell ref="B7:B11"/>
    <mergeCell ref="A2:A3"/>
    <mergeCell ref="F2:F3"/>
    <mergeCell ref="E2:E3"/>
    <mergeCell ref="D2:D3"/>
    <mergeCell ref="C2:C3"/>
    <mergeCell ref="B2:B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7B59A-4214-4615-88A1-A73468C60AAC}">
  <sheetPr codeName="Planilha6"/>
  <dimension ref="A1:AD200"/>
  <sheetViews>
    <sheetView showGridLines="0" topLeftCell="F1" workbookViewId="0">
      <selection activeCell="G49" sqref="G49"/>
    </sheetView>
  </sheetViews>
  <sheetFormatPr defaultColWidth="9.109375" defaultRowHeight="12" customHeight="1" x14ac:dyDescent="0.2"/>
  <cols>
    <col min="1" max="1" width="9.88671875" style="14" bestFit="1" customWidth="1"/>
    <col min="2" max="2" width="13.88671875" style="14" bestFit="1" customWidth="1"/>
    <col min="3" max="3" width="18.109375" style="14" bestFit="1" customWidth="1"/>
    <col min="4" max="4" width="14" style="14" bestFit="1" customWidth="1"/>
    <col min="5" max="5" width="13.88671875" style="14" bestFit="1" customWidth="1"/>
    <col min="6" max="6" width="3.77734375" style="14" bestFit="1" customWidth="1"/>
    <col min="7" max="7" width="10.33203125" style="14" bestFit="1" customWidth="1"/>
    <col min="8" max="11" width="9.109375" style="14"/>
    <col min="12" max="12" width="31.44140625" style="14" bestFit="1" customWidth="1"/>
    <col min="13" max="13" width="9.109375" style="14" bestFit="1" customWidth="1"/>
    <col min="14" max="14" width="33.21875" style="14" bestFit="1" customWidth="1"/>
    <col min="15" max="15" width="30.77734375" style="14" customWidth="1"/>
    <col min="16" max="16" width="12.44140625" style="14" bestFit="1" customWidth="1"/>
    <col min="17" max="17" width="8.44140625" style="14" bestFit="1" customWidth="1"/>
    <col min="18" max="18" width="13.33203125" style="14" bestFit="1" customWidth="1"/>
    <col min="19" max="19" width="28.77734375" style="14" bestFit="1" customWidth="1"/>
    <col min="20" max="20" width="14.33203125" style="14" bestFit="1" customWidth="1"/>
    <col min="21" max="21" width="10.21875" style="14" bestFit="1" customWidth="1"/>
    <col min="22" max="22" width="12.5546875" style="14" bestFit="1" customWidth="1"/>
    <col min="23" max="23" width="5" style="14" bestFit="1" customWidth="1"/>
    <col min="24" max="24" width="51.88671875" style="14" bestFit="1" customWidth="1"/>
    <col min="25" max="26" width="5" style="14" bestFit="1" customWidth="1"/>
    <col min="27" max="27" width="2" style="14" bestFit="1" customWidth="1"/>
    <col min="28" max="16384" width="9.109375" style="14"/>
  </cols>
  <sheetData>
    <row r="1" spans="1:30" ht="12" customHeight="1" x14ac:dyDescent="0.2">
      <c r="A1" s="10" t="s">
        <v>462</v>
      </c>
      <c r="B1" s="10" t="s">
        <v>463</v>
      </c>
      <c r="C1" s="10" t="s">
        <v>464</v>
      </c>
      <c r="D1" s="10" t="s">
        <v>465</v>
      </c>
      <c r="E1" s="10" t="s">
        <v>466</v>
      </c>
      <c r="F1" s="10" t="s">
        <v>467</v>
      </c>
      <c r="G1" s="7"/>
      <c r="H1" s="7"/>
      <c r="I1" s="7"/>
      <c r="J1" s="7"/>
      <c r="K1" s="7"/>
      <c r="L1" s="82" t="s">
        <v>468</v>
      </c>
      <c r="M1" s="82"/>
      <c r="N1" s="7"/>
      <c r="O1" s="86" t="s">
        <v>555</v>
      </c>
      <c r="P1" s="87"/>
      <c r="Q1" s="87"/>
      <c r="R1" s="87"/>
      <c r="S1" s="87"/>
      <c r="T1" s="87"/>
      <c r="U1" s="87"/>
      <c r="V1" s="7"/>
      <c r="W1" s="7"/>
      <c r="X1" s="7"/>
      <c r="Y1" s="7"/>
      <c r="Z1" s="7"/>
      <c r="AA1" s="7"/>
      <c r="AB1" s="7"/>
      <c r="AC1" s="7"/>
      <c r="AD1" s="7"/>
    </row>
    <row r="2" spans="1:30" ht="12" customHeight="1" x14ac:dyDescent="0.2">
      <c r="A2" s="83" t="s">
        <v>423</v>
      </c>
      <c r="B2" s="83" t="s">
        <v>424</v>
      </c>
      <c r="C2" s="16" t="s">
        <v>509</v>
      </c>
      <c r="D2" s="13">
        <v>0</v>
      </c>
      <c r="E2" s="13">
        <v>0</v>
      </c>
      <c r="F2" s="13">
        <v>0</v>
      </c>
      <c r="G2" s="15"/>
      <c r="H2" s="15"/>
      <c r="I2" s="15"/>
      <c r="J2" s="15"/>
      <c r="K2" s="15"/>
      <c r="L2" s="23" t="s">
        <v>469</v>
      </c>
      <c r="M2" s="56">
        <v>7.1900000000000006E-2</v>
      </c>
      <c r="N2" s="15"/>
      <c r="O2" s="28" t="s">
        <v>556</v>
      </c>
      <c r="P2" s="28" t="s">
        <v>557</v>
      </c>
      <c r="Q2" s="28" t="s">
        <v>558</v>
      </c>
      <c r="R2" s="28" t="s">
        <v>35</v>
      </c>
      <c r="S2" s="28" t="s">
        <v>559</v>
      </c>
      <c r="T2" s="28" t="s">
        <v>78</v>
      </c>
      <c r="U2" s="28"/>
      <c r="V2" s="15"/>
      <c r="W2" s="15"/>
      <c r="X2" s="23" t="s">
        <v>522</v>
      </c>
      <c r="Y2" s="15"/>
      <c r="Z2" s="15"/>
      <c r="AA2" s="15" t="s">
        <v>567</v>
      </c>
      <c r="AB2" s="15"/>
      <c r="AC2" s="15"/>
      <c r="AD2" s="15"/>
    </row>
    <row r="3" spans="1:30" ht="12" customHeight="1" x14ac:dyDescent="0.2">
      <c r="A3" s="84"/>
      <c r="B3" s="84"/>
      <c r="C3" s="16" t="s">
        <v>425</v>
      </c>
      <c r="D3" s="13">
        <v>60318.578824742086</v>
      </c>
      <c r="E3" s="13">
        <v>-631.8579431823332</v>
      </c>
      <c r="F3" s="13">
        <v>0</v>
      </c>
      <c r="G3" s="15"/>
      <c r="H3" s="15"/>
      <c r="I3" s="15"/>
      <c r="J3" s="15"/>
      <c r="K3" s="15"/>
      <c r="L3" s="23" t="s">
        <v>470</v>
      </c>
      <c r="M3" s="56"/>
      <c r="N3" s="15"/>
      <c r="O3" s="29">
        <v>1</v>
      </c>
      <c r="P3" s="29">
        <v>1</v>
      </c>
      <c r="Q3" s="29">
        <v>1</v>
      </c>
      <c r="R3" s="29">
        <v>1</v>
      </c>
      <c r="S3" s="29">
        <v>1</v>
      </c>
      <c r="T3" s="29">
        <v>1</v>
      </c>
      <c r="U3" s="29" t="s">
        <v>560</v>
      </c>
      <c r="V3" s="15"/>
      <c r="W3" s="15"/>
      <c r="X3" s="23" t="s">
        <v>523</v>
      </c>
      <c r="Y3" s="15"/>
      <c r="Z3" s="15"/>
      <c r="AA3" s="15">
        <v>0</v>
      </c>
      <c r="AB3" s="15"/>
      <c r="AC3" s="15"/>
      <c r="AD3" s="15"/>
    </row>
    <row r="4" spans="1:30" ht="12" customHeight="1" x14ac:dyDescent="0.2">
      <c r="A4" s="84"/>
      <c r="B4" s="84"/>
      <c r="C4" s="16" t="s">
        <v>426</v>
      </c>
      <c r="D4" s="13">
        <f>$M$22-D$30</f>
        <v>0</v>
      </c>
      <c r="E4" s="13">
        <f>IF((D4+D$30)&lt;&gt;0,$M$20*D4/(D4+D$30),0)</f>
        <v>0</v>
      </c>
      <c r="F4" s="13">
        <f>IF((D4+D$30)&lt;&gt;0,$M$21*D4/(D4+D$30),0)</f>
        <v>0</v>
      </c>
      <c r="G4" s="15"/>
      <c r="H4" s="15"/>
      <c r="I4" s="15"/>
      <c r="J4" s="15"/>
      <c r="K4" s="15"/>
      <c r="L4" s="23" t="s">
        <v>471</v>
      </c>
      <c r="M4" s="56">
        <v>8.5874515481677571E-2</v>
      </c>
      <c r="N4" s="15"/>
      <c r="O4" s="29">
        <v>1</v>
      </c>
      <c r="P4" s="29">
        <v>1</v>
      </c>
      <c r="Q4" s="29">
        <v>1</v>
      </c>
      <c r="R4" s="29">
        <v>1</v>
      </c>
      <c r="S4" s="29">
        <v>1</v>
      </c>
      <c r="T4" s="29">
        <v>1</v>
      </c>
      <c r="U4" s="29" t="s">
        <v>77</v>
      </c>
      <c r="V4" s="15"/>
      <c r="W4" s="15"/>
      <c r="X4" s="15"/>
      <c r="Y4" s="15"/>
      <c r="Z4" s="15"/>
      <c r="AA4" s="15"/>
      <c r="AB4" s="15"/>
      <c r="AC4" s="15"/>
      <c r="AD4" s="15"/>
    </row>
    <row r="5" spans="1:30" ht="12" customHeight="1" x14ac:dyDescent="0.2">
      <c r="A5" s="84"/>
      <c r="B5" s="84"/>
      <c r="C5" s="16" t="s">
        <v>427</v>
      </c>
      <c r="D5" s="13">
        <v>0</v>
      </c>
      <c r="E5" s="13"/>
      <c r="F5" s="13"/>
      <c r="G5" s="15"/>
      <c r="H5" s="15"/>
      <c r="I5" s="15"/>
      <c r="J5" s="15"/>
      <c r="K5" s="15"/>
      <c r="L5" s="23" t="s">
        <v>472</v>
      </c>
      <c r="M5" s="56">
        <v>1E-14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</row>
    <row r="6" spans="1:30" ht="12" customHeight="1" x14ac:dyDescent="0.2">
      <c r="A6" s="84"/>
      <c r="B6" s="84"/>
      <c r="C6" s="16" t="s">
        <v>428</v>
      </c>
      <c r="D6" s="13">
        <v>0</v>
      </c>
      <c r="E6" s="13">
        <v>0</v>
      </c>
      <c r="F6" s="13">
        <v>0</v>
      </c>
      <c r="G6" s="15"/>
      <c r="H6" s="15"/>
      <c r="I6" s="15"/>
      <c r="J6" s="15"/>
      <c r="K6" s="15"/>
      <c r="L6" s="23" t="s">
        <v>473</v>
      </c>
      <c r="M6" s="56">
        <v>0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</row>
    <row r="7" spans="1:30" ht="12" customHeight="1" x14ac:dyDescent="0.2">
      <c r="A7" s="84"/>
      <c r="B7" s="84"/>
      <c r="C7" s="16" t="s">
        <v>429</v>
      </c>
      <c r="D7" s="13">
        <v>3547574.1107399999</v>
      </c>
      <c r="E7" s="13">
        <v>-29649.206855117383</v>
      </c>
      <c r="F7" s="13">
        <v>0</v>
      </c>
      <c r="G7" s="15"/>
      <c r="H7" s="15"/>
      <c r="I7" s="15"/>
      <c r="J7" s="15"/>
      <c r="K7" s="15"/>
      <c r="L7" s="23" t="s">
        <v>474</v>
      </c>
      <c r="M7" s="23">
        <f>M8+M9+M10+M11</f>
        <v>5157.3189999999995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ht="12" customHeight="1" x14ac:dyDescent="0.2">
      <c r="A8" s="84"/>
      <c r="B8" s="84"/>
      <c r="C8" s="16" t="s">
        <v>430</v>
      </c>
      <c r="D8" s="13">
        <v>628596.9297000001</v>
      </c>
      <c r="E8" s="13">
        <v>-5292.8430167260067</v>
      </c>
      <c r="F8" s="13">
        <v>0</v>
      </c>
      <c r="G8" s="15"/>
      <c r="H8" s="15"/>
      <c r="I8" s="15"/>
      <c r="J8" s="15"/>
      <c r="K8" s="15"/>
      <c r="L8" s="57" t="s">
        <v>475</v>
      </c>
      <c r="M8" s="23">
        <v>5157.3189999999995</v>
      </c>
      <c r="N8" s="15"/>
      <c r="O8" s="23" t="s">
        <v>508</v>
      </c>
      <c r="P8" s="29">
        <v>0</v>
      </c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</row>
    <row r="9" spans="1:30" ht="12" customHeight="1" x14ac:dyDescent="0.2">
      <c r="A9" s="84"/>
      <c r="B9" s="84"/>
      <c r="C9" s="16" t="s">
        <v>431</v>
      </c>
      <c r="D9" s="13"/>
      <c r="E9" s="13"/>
      <c r="F9" s="13"/>
      <c r="G9" s="15"/>
      <c r="H9" s="15"/>
      <c r="I9" s="15"/>
      <c r="J9" s="15"/>
      <c r="K9" s="15"/>
      <c r="L9" s="58" t="s">
        <v>476</v>
      </c>
      <c r="M9" s="23">
        <v>0</v>
      </c>
      <c r="N9" s="15"/>
      <c r="O9" s="23" t="s">
        <v>513</v>
      </c>
      <c r="P9" s="29">
        <f>SUM(Mercado_Receita!$J$2:$J$352)</f>
        <v>129730</v>
      </c>
      <c r="Q9" s="29">
        <v>129730</v>
      </c>
      <c r="R9" s="29" t="str">
        <f>IF(ABS(P9-Q9)&gt;1,"ERRO BADNET","OK BADNET")</f>
        <v>OK BADNET</v>
      </c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</row>
    <row r="10" spans="1:30" ht="12" customHeight="1" x14ac:dyDescent="0.2">
      <c r="A10" s="84"/>
      <c r="B10" s="85"/>
      <c r="C10" s="16" t="s">
        <v>432</v>
      </c>
      <c r="D10" s="13">
        <f>SUM(D$2:D9)</f>
        <v>4236489.6192647424</v>
      </c>
      <c r="E10" s="13">
        <f>SUM(E$2:E9)</f>
        <v>-35573.907815025726</v>
      </c>
      <c r="F10" s="13">
        <f>SUM(F$2:F9)</f>
        <v>0</v>
      </c>
      <c r="G10" s="15"/>
      <c r="H10" s="15"/>
      <c r="I10" s="15"/>
      <c r="J10" s="15"/>
      <c r="K10" s="15"/>
      <c r="L10" s="57" t="s">
        <v>477</v>
      </c>
      <c r="M10" s="23">
        <v>0</v>
      </c>
      <c r="N10" s="15"/>
      <c r="O10" s="23" t="s">
        <v>514</v>
      </c>
      <c r="P10" s="29">
        <f>SUM(Mercado_Receita!$L$2:$L$352)</f>
        <v>44819.609999999913</v>
      </c>
      <c r="Q10" s="29">
        <v>44819.609999999899</v>
      </c>
      <c r="R10" s="29" t="str">
        <f>IF(ABS(P10-Q10)&gt;1,"ERRO BADNET","OK BADNET")</f>
        <v>OK BADNET</v>
      </c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 ht="12" customHeight="1" x14ac:dyDescent="0.2">
      <c r="A11" s="84"/>
      <c r="B11" s="83" t="s">
        <v>433</v>
      </c>
      <c r="C11" s="16" t="s">
        <v>434</v>
      </c>
      <c r="D11" s="13">
        <v>0</v>
      </c>
      <c r="E11" s="13">
        <v>0</v>
      </c>
      <c r="F11" s="13">
        <f>IF((+$D$11+$D$12+$D$16+$D$17+$D$39)&lt;&gt;0,$M$19*$D$11/(+$D$11+$D$12+$D$16+$D$17+$D$39),0)</f>
        <v>0</v>
      </c>
      <c r="G11" s="15"/>
      <c r="H11" s="15"/>
      <c r="I11" s="15"/>
      <c r="J11" s="15"/>
      <c r="K11" s="15"/>
      <c r="L11" s="57" t="s">
        <v>478</v>
      </c>
      <c r="M11" s="23">
        <v>0</v>
      </c>
      <c r="N11" s="15"/>
      <c r="O11" s="23" t="s">
        <v>515</v>
      </c>
      <c r="P11" s="29">
        <f>SUM(Mercado_Receita!$N$2:$N$352)</f>
        <v>44819.609999999913</v>
      </c>
      <c r="Q11" s="29">
        <v>44819.609999999899</v>
      </c>
      <c r="R11" s="29" t="str">
        <f>IF(ABS(P11-Q11)&gt;1,"ERRO BADNET","OK BADNET")</f>
        <v>OK BADNET</v>
      </c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 ht="12" customHeight="1" x14ac:dyDescent="0.2">
      <c r="A12" s="84"/>
      <c r="B12" s="84"/>
      <c r="C12" s="16" t="s">
        <v>435</v>
      </c>
      <c r="D12" s="13">
        <v>0</v>
      </c>
      <c r="E12" s="13">
        <v>0</v>
      </c>
      <c r="F12" s="13">
        <f>IF((+$D$11+$D$12+$D$16+$D$17+$D$39)&lt;&gt;0,$M$19*$D$12/(+$D$11+$D$12+$D$16+$D$17+$D$39),0)</f>
        <v>0</v>
      </c>
      <c r="G12" s="15"/>
      <c r="H12" s="15"/>
      <c r="I12" s="15"/>
      <c r="J12" s="15"/>
      <c r="K12" s="15"/>
      <c r="L12" s="23" t="s">
        <v>479</v>
      </c>
      <c r="M12" s="23">
        <v>49976.929000000004</v>
      </c>
      <c r="N12" s="15"/>
      <c r="O12" s="23" t="s">
        <v>516</v>
      </c>
      <c r="P12" s="29">
        <f>SUMIF('MERCADO TUSD'!$H$2:$H$48,"kW",'MERCADO TUSD'!$U$2:$U$48)</f>
        <v>129730</v>
      </c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ht="12" customHeight="1" x14ac:dyDescent="0.2">
      <c r="A13" s="84"/>
      <c r="B13" s="84"/>
      <c r="C13" s="16" t="s">
        <v>436</v>
      </c>
      <c r="D13" s="13">
        <f>-$M$51+0</f>
        <v>0</v>
      </c>
      <c r="E13" s="13"/>
      <c r="F13" s="13"/>
      <c r="G13" s="15"/>
      <c r="H13" s="15"/>
      <c r="I13" s="15"/>
      <c r="J13" s="15"/>
      <c r="K13" s="15"/>
      <c r="L13" s="23" t="s">
        <v>480</v>
      </c>
      <c r="M13" s="23">
        <v>762.52146735008182</v>
      </c>
      <c r="N13" s="15"/>
      <c r="O13" s="23" t="s">
        <v>517</v>
      </c>
      <c r="P13" s="29">
        <f>SUMIF('MERCADO TUSD'!$H$2:$H$48,"MWh",'MERCADO TUSD'!$U$2:$U$48)</f>
        <v>44819.609999999993</v>
      </c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 ht="12" customHeight="1" x14ac:dyDescent="0.2">
      <c r="A14" s="84"/>
      <c r="B14" s="84"/>
      <c r="C14" s="16" t="s">
        <v>437</v>
      </c>
      <c r="D14" s="13"/>
      <c r="E14" s="13"/>
      <c r="F14" s="13"/>
      <c r="G14" s="15"/>
      <c r="H14" s="15"/>
      <c r="I14" s="15"/>
      <c r="J14" s="15"/>
      <c r="K14" s="15"/>
      <c r="L14" s="23" t="s">
        <v>481</v>
      </c>
      <c r="M14" s="61">
        <v>123.60305642674305</v>
      </c>
      <c r="N14" s="15"/>
      <c r="O14" s="23" t="s">
        <v>518</v>
      </c>
      <c r="P14" s="29">
        <f>SUMIF('MERCADO TE'!$H$2:$H$38,"MWh",'MERCADO TE'!$U$2:$U$38)</f>
        <v>44819.609999999993</v>
      </c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 ht="12" customHeight="1" x14ac:dyDescent="0.2">
      <c r="A15" s="84"/>
      <c r="B15" s="84"/>
      <c r="C15" s="16" t="s">
        <v>438</v>
      </c>
      <c r="D15" s="13">
        <v>4882651.6637400007</v>
      </c>
      <c r="E15" s="13">
        <v>-142938.17947389829</v>
      </c>
      <c r="F15" s="13">
        <v>0</v>
      </c>
      <c r="G15" s="15"/>
      <c r="H15" s="15"/>
      <c r="I15" s="15"/>
      <c r="J15" s="15"/>
      <c r="K15" s="15"/>
      <c r="L15" s="23" t="s">
        <v>482</v>
      </c>
      <c r="M15" s="61">
        <f>M14*M12</f>
        <v>6177301.1752223317</v>
      </c>
      <c r="N15" s="15"/>
      <c r="O15" s="23" t="s">
        <v>519</v>
      </c>
      <c r="P15" s="29" t="str">
        <f>IF(ABS(P9-P12)&gt;1,"ERRO","OK")</f>
        <v>OK</v>
      </c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 ht="12" customHeight="1" x14ac:dyDescent="0.2">
      <c r="A16" s="84"/>
      <c r="B16" s="84"/>
      <c r="C16" s="16" t="s">
        <v>439</v>
      </c>
      <c r="D16" s="13">
        <v>0</v>
      </c>
      <c r="E16" s="13"/>
      <c r="F16" s="13">
        <f>IF((+$D$11+$D$12+$D$16+$D$17+$D$39)&lt;&gt;0,$M$19*$D$16/(+$D$11+$D$12+$D$16+$D$17+$D$39),0)</f>
        <v>0</v>
      </c>
      <c r="G16" s="15"/>
      <c r="H16" s="15"/>
      <c r="I16" s="15"/>
      <c r="J16" s="15"/>
      <c r="K16" s="15"/>
      <c r="L16" s="23" t="s">
        <v>483</v>
      </c>
      <c r="M16" s="23">
        <v>-112982.7242143719</v>
      </c>
      <c r="N16" s="15"/>
      <c r="O16" s="23" t="s">
        <v>520</v>
      </c>
      <c r="P16" s="29" t="str">
        <f>IF(ABS(P10-P13)&gt;1,"ERRO","OK")</f>
        <v>OK</v>
      </c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1:30" ht="12" customHeight="1" x14ac:dyDescent="0.2">
      <c r="A17" s="84"/>
      <c r="B17" s="84"/>
      <c r="C17" s="16" t="s">
        <v>440</v>
      </c>
      <c r="D17" s="13">
        <v>0</v>
      </c>
      <c r="E17" s="13"/>
      <c r="F17" s="13">
        <f>IF((+$D$11+$D$12+$D$16+$D$17+$D$39)&lt;&gt;0,$M$19*$D$17/(+$D$11+$D$12+$D$16+$D$17+$D$39),0)</f>
        <v>0</v>
      </c>
      <c r="G17" s="15"/>
      <c r="H17" s="15"/>
      <c r="I17" s="15"/>
      <c r="J17" s="15"/>
      <c r="K17" s="15"/>
      <c r="L17" s="23" t="s">
        <v>484</v>
      </c>
      <c r="M17" s="23">
        <v>0</v>
      </c>
      <c r="N17" s="15"/>
      <c r="O17" s="23" t="s">
        <v>521</v>
      </c>
      <c r="P17" s="29" t="str">
        <f>IF(ABS(P11-P14)&gt;1,"ERRO","OK")</f>
        <v>OK</v>
      </c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1:30" ht="12" customHeight="1" x14ac:dyDescent="0.2">
      <c r="A18" s="84"/>
      <c r="B18" s="85"/>
      <c r="C18" s="16" t="s">
        <v>432</v>
      </c>
      <c r="D18" s="13">
        <f>SUM(D$11:D17)</f>
        <v>4882651.6637400007</v>
      </c>
      <c r="E18" s="13">
        <f>SUM(E$11:E17)</f>
        <v>-142938.17947389829</v>
      </c>
      <c r="F18" s="13">
        <f>SUM(F$11:F17)</f>
        <v>0</v>
      </c>
      <c r="G18" s="15"/>
      <c r="H18" s="15"/>
      <c r="I18" s="15"/>
      <c r="J18" s="15"/>
      <c r="K18" s="15"/>
      <c r="L18" s="23" t="s">
        <v>485</v>
      </c>
      <c r="M18" s="2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1:30" ht="12" customHeight="1" x14ac:dyDescent="0.2">
      <c r="A19" s="84"/>
      <c r="B19" s="83" t="s">
        <v>441</v>
      </c>
      <c r="C19" s="16" t="s">
        <v>442</v>
      </c>
      <c r="D19" s="13">
        <v>14343053.986877607</v>
      </c>
      <c r="E19" s="13">
        <v>-2548674.1739379396</v>
      </c>
      <c r="F19" s="13">
        <v>0</v>
      </c>
      <c r="G19" s="15"/>
      <c r="H19" s="15"/>
      <c r="I19" s="15"/>
      <c r="J19" s="15"/>
      <c r="K19" s="15"/>
      <c r="L19" s="23" t="s">
        <v>486</v>
      </c>
      <c r="M19" s="23">
        <v>0</v>
      </c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1:30" ht="12" customHeight="1" x14ac:dyDescent="0.2">
      <c r="A20" s="84"/>
      <c r="B20" s="85"/>
      <c r="C20" s="16" t="s">
        <v>432</v>
      </c>
      <c r="D20" s="13">
        <f>SUM(D$19:D19)</f>
        <v>14343053.986877607</v>
      </c>
      <c r="E20" s="13">
        <f>SUM(E$19:E19)</f>
        <v>-2548674.1739379396</v>
      </c>
      <c r="F20" s="13">
        <f>SUM(F$19:F19)</f>
        <v>0</v>
      </c>
      <c r="G20" s="15"/>
      <c r="H20" s="15"/>
      <c r="I20" s="15"/>
      <c r="J20" s="15"/>
      <c r="K20" s="15"/>
      <c r="L20" s="23" t="s">
        <v>487</v>
      </c>
      <c r="M20" s="23">
        <v>0</v>
      </c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1:30" ht="12" customHeight="1" x14ac:dyDescent="0.2">
      <c r="A21" s="84"/>
      <c r="B21" s="83" t="s">
        <v>443</v>
      </c>
      <c r="C21" s="16" t="s">
        <v>444</v>
      </c>
      <c r="D21" s="13"/>
      <c r="E21" s="13">
        <f>IF($D$47&lt;&gt;0,(1-$D$46/$D$47)*0,0)+0</f>
        <v>0</v>
      </c>
      <c r="F21" s="13"/>
      <c r="G21" s="15"/>
      <c r="H21" s="15"/>
      <c r="I21" s="15"/>
      <c r="J21" s="15"/>
      <c r="K21" s="15"/>
      <c r="L21" s="23" t="s">
        <v>488</v>
      </c>
      <c r="M21" s="23">
        <v>0</v>
      </c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1:30" ht="12" customHeight="1" x14ac:dyDescent="0.2">
      <c r="A22" s="84"/>
      <c r="B22" s="84"/>
      <c r="C22" s="16" t="s">
        <v>445</v>
      </c>
      <c r="D22" s="13"/>
      <c r="E22" s="13"/>
      <c r="F22" s="13"/>
      <c r="G22" s="15"/>
      <c r="H22" s="15"/>
      <c r="I22" s="15"/>
      <c r="J22" s="15"/>
      <c r="K22" s="15"/>
      <c r="L22" s="23" t="s">
        <v>510</v>
      </c>
      <c r="M22" s="23">
        <v>0</v>
      </c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1:30" ht="12" customHeight="1" x14ac:dyDescent="0.2">
      <c r="A23" s="84"/>
      <c r="B23" s="85"/>
      <c r="C23" s="16" t="s">
        <v>432</v>
      </c>
      <c r="D23" s="13">
        <f>SUM(D$21:D22)</f>
        <v>0</v>
      </c>
      <c r="E23" s="13">
        <f>SUM(E$21:E22)</f>
        <v>0</v>
      </c>
      <c r="F23" s="13">
        <f>SUM(F$21:F22)</f>
        <v>0</v>
      </c>
      <c r="G23" s="15"/>
      <c r="H23" s="15"/>
      <c r="I23" s="15"/>
      <c r="J23" s="15"/>
      <c r="K23" s="15"/>
      <c r="L23" s="23" t="s">
        <v>489</v>
      </c>
      <c r="M23" s="23">
        <v>11</v>
      </c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1:30" ht="12" customHeight="1" x14ac:dyDescent="0.2">
      <c r="A24" s="84"/>
      <c r="B24" s="83" t="s">
        <v>446</v>
      </c>
      <c r="C24" s="16" t="s">
        <v>447</v>
      </c>
      <c r="D24" s="13">
        <f>$M$14*$M$8</f>
        <v>637460.39136771404</v>
      </c>
      <c r="E24" s="13">
        <f>$M$16*$M$8/$M$12</f>
        <v>-11659.138765059777</v>
      </c>
      <c r="F24" s="13">
        <f>$M$17*$M$8/$M$12</f>
        <v>0</v>
      </c>
      <c r="G24" s="15"/>
      <c r="H24" s="15"/>
      <c r="I24" s="15"/>
      <c r="J24" s="15"/>
      <c r="K24" s="15"/>
      <c r="L24" s="23" t="s">
        <v>490</v>
      </c>
      <c r="M24" s="23">
        <v>0</v>
      </c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1:30" ht="12" customHeight="1" x14ac:dyDescent="0.2">
      <c r="A25" s="84"/>
      <c r="B25" s="84"/>
      <c r="C25" s="16" t="s">
        <v>448</v>
      </c>
      <c r="D25" s="13">
        <f>$M$14*$M$10</f>
        <v>0</v>
      </c>
      <c r="E25" s="13">
        <f>$M$16*$M$10/$M$12</f>
        <v>0</v>
      </c>
      <c r="F25" s="13">
        <f>$M$17*$M$10/$M$12</f>
        <v>0</v>
      </c>
      <c r="G25" s="15"/>
      <c r="H25" s="15"/>
      <c r="I25" s="15"/>
      <c r="J25" s="15"/>
      <c r="K25" s="15"/>
      <c r="L25" s="23" t="s">
        <v>491</v>
      </c>
      <c r="M25" s="23">
        <v>0</v>
      </c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1:30" ht="12" customHeight="1" x14ac:dyDescent="0.2">
      <c r="A26" s="84"/>
      <c r="B26" s="84"/>
      <c r="C26" s="16" t="s">
        <v>449</v>
      </c>
      <c r="D26" s="13">
        <f>$M$14*$M$9</f>
        <v>0</v>
      </c>
      <c r="E26" s="13">
        <f>$M$16*$M$9/$M$12</f>
        <v>0</v>
      </c>
      <c r="F26" s="13">
        <f>$M$17*$M$9/$M$12</f>
        <v>0</v>
      </c>
      <c r="G26" s="15"/>
      <c r="H26" s="15"/>
      <c r="I26" s="15"/>
      <c r="J26" s="15"/>
      <c r="K26" s="15"/>
      <c r="L26" s="23" t="s">
        <v>492</v>
      </c>
      <c r="M26" s="23">
        <v>0</v>
      </c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ht="12" customHeight="1" x14ac:dyDescent="0.2">
      <c r="A27" s="84"/>
      <c r="B27" s="84"/>
      <c r="C27" s="16" t="s">
        <v>450</v>
      </c>
      <c r="D27" s="13"/>
      <c r="E27" s="13"/>
      <c r="F27" s="13"/>
      <c r="G27" s="15"/>
      <c r="H27" s="15"/>
      <c r="I27" s="15"/>
      <c r="J27" s="15"/>
      <c r="K27" s="15"/>
      <c r="L27" s="23" t="s">
        <v>493</v>
      </c>
      <c r="M27" s="23">
        <v>0</v>
      </c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1:30" ht="12" customHeight="1" x14ac:dyDescent="0.2">
      <c r="A28" s="84"/>
      <c r="B28" s="85"/>
      <c r="C28" s="16" t="s">
        <v>432</v>
      </c>
      <c r="D28" s="13">
        <f>SUM(D$24:D27)</f>
        <v>637460.39136771404</v>
      </c>
      <c r="E28" s="13">
        <f>SUM(E$24:E27)</f>
        <v>-11659.138765059777</v>
      </c>
      <c r="F28" s="13">
        <f>SUM(F$24:F27)</f>
        <v>0</v>
      </c>
      <c r="G28" s="15"/>
      <c r="H28" s="15"/>
      <c r="I28" s="15"/>
      <c r="J28" s="15"/>
      <c r="K28" s="15"/>
      <c r="L28" s="23" t="s">
        <v>494</v>
      </c>
      <c r="M28" s="23">
        <v>0</v>
      </c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1:30" ht="12" customHeight="1" x14ac:dyDescent="0.2">
      <c r="A29" s="85"/>
      <c r="B29" s="79" t="s">
        <v>432</v>
      </c>
      <c r="C29" s="81"/>
      <c r="D29" s="13">
        <f>SUMIF(C$2:C28,"SUBTOTAL",D$2:D28)</f>
        <v>24099655.661250066</v>
      </c>
      <c r="E29" s="13">
        <f>SUMIF(C$2:C28,"SUBTOTAL",E$2:E28)</f>
        <v>-2738845.3999919235</v>
      </c>
      <c r="F29" s="13">
        <f>SUMIF(C$2:C28,"SUBTOTAL",F$2:F28)</f>
        <v>0</v>
      </c>
      <c r="G29" s="15"/>
      <c r="H29" s="15"/>
      <c r="I29" s="15"/>
      <c r="J29" s="15"/>
      <c r="K29" s="15"/>
      <c r="L29" s="23" t="s">
        <v>495</v>
      </c>
      <c r="M29" s="23">
        <v>0</v>
      </c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1:30" ht="12" customHeight="1" x14ac:dyDescent="0.2">
      <c r="A30" s="83" t="s">
        <v>451</v>
      </c>
      <c r="B30" s="83" t="s">
        <v>424</v>
      </c>
      <c r="C30" s="16" t="s">
        <v>426</v>
      </c>
      <c r="D30" s="13">
        <f>IFERROR($M$5*(+D$31+D$32+D$33+D$34+D$36+D$38+D$39+D$40+D$44)+($M$5^2)*(+D$31+D$32+D$33+D$34+D$36+D$38+D$39+D$40+D$44)/$M$22*(+$E$2+$F$2+$E$3+$F$3+$E$8+$F$8+$E$9+$F$9+$E$11+$F$11+$E$12+$F$12+$E$13+$F$13+$E$14+$F$14+$E$15+$F$15+$E$16+$F$16+$E$17+$F$17+$E$19+$F$19+$E$22+$F$22+$E$24+$F$24+$E$25+$F$25+$E$26+$F$26+$E$27+$F$27+$E$31+$F$31+$E$32+$F$32+$E$33+$F$33+$E$34+$F$34+$E$36+$F$36+$E$38+$F$38+$E$39+$F$39+$E$40+$F$40+$E$44+$F$44),0)</f>
        <v>0</v>
      </c>
      <c r="E30" s="13">
        <f>IF((D30+D$4)&lt;&gt;0,$M$20*D30/(D30+D$4),0)</f>
        <v>0</v>
      </c>
      <c r="F30" s="13">
        <f>IF((D30+D$4)&lt;&gt;0,$M$21*D30/(D30+D$4),0)</f>
        <v>0</v>
      </c>
      <c r="G30" s="15"/>
      <c r="H30" s="15"/>
      <c r="I30" s="15"/>
      <c r="J30" s="15"/>
      <c r="K30" s="15"/>
      <c r="L30" s="23" t="s">
        <v>496</v>
      </c>
      <c r="M30" s="23">
        <v>0</v>
      </c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1:30" ht="12" customHeight="1" x14ac:dyDescent="0.2">
      <c r="A31" s="84"/>
      <c r="B31" s="84"/>
      <c r="C31" s="16" t="s">
        <v>452</v>
      </c>
      <c r="D31" s="13">
        <v>0</v>
      </c>
      <c r="E31" s="13">
        <v>0</v>
      </c>
      <c r="F31" s="13">
        <v>0</v>
      </c>
      <c r="G31" s="15"/>
      <c r="H31" s="15"/>
      <c r="I31" s="15"/>
      <c r="J31" s="15"/>
      <c r="K31" s="15"/>
      <c r="L31" s="23" t="s">
        <v>497</v>
      </c>
      <c r="M31" s="23">
        <v>0</v>
      </c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1:30" ht="12" customHeight="1" x14ac:dyDescent="0.2">
      <c r="A32" s="84"/>
      <c r="B32" s="84"/>
      <c r="C32" s="16" t="s">
        <v>453</v>
      </c>
      <c r="D32" s="13">
        <v>0</v>
      </c>
      <c r="E32" s="13">
        <v>0</v>
      </c>
      <c r="F32" s="13">
        <v>0</v>
      </c>
      <c r="G32" s="15"/>
      <c r="H32" s="15"/>
      <c r="I32" s="15"/>
      <c r="J32" s="15"/>
      <c r="K32" s="15"/>
      <c r="L32" s="23" t="s">
        <v>498</v>
      </c>
      <c r="M32" s="23">
        <v>0.45</v>
      </c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1:30" ht="12" customHeight="1" x14ac:dyDescent="0.2">
      <c r="A33" s="84"/>
      <c r="B33" s="84"/>
      <c r="C33" s="16" t="s">
        <v>512</v>
      </c>
      <c r="D33" s="13"/>
      <c r="E33" s="13">
        <v>0</v>
      </c>
      <c r="F33" s="13">
        <v>0</v>
      </c>
      <c r="G33" s="15"/>
      <c r="H33" s="15"/>
      <c r="I33" s="15"/>
      <c r="J33" s="15"/>
      <c r="K33" s="15"/>
      <c r="L33" s="23" t="s">
        <v>499</v>
      </c>
      <c r="M33" s="23">
        <v>0.4</v>
      </c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1:30" ht="12" customHeight="1" x14ac:dyDescent="0.2">
      <c r="A34" s="84"/>
      <c r="B34" s="84"/>
      <c r="C34" s="16" t="s">
        <v>454</v>
      </c>
      <c r="D34" s="13">
        <v>0</v>
      </c>
      <c r="E34" s="13">
        <v>0</v>
      </c>
      <c r="F34" s="13">
        <v>0</v>
      </c>
      <c r="G34" s="15"/>
      <c r="H34" s="15"/>
      <c r="I34" s="15"/>
      <c r="J34" s="15"/>
      <c r="K34" s="15"/>
      <c r="L34" s="23" t="s">
        <v>500</v>
      </c>
      <c r="M34" s="23">
        <v>0.65</v>
      </c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1:30" ht="12" customHeight="1" x14ac:dyDescent="0.2">
      <c r="A35" s="84"/>
      <c r="B35" s="85"/>
      <c r="C35" s="16" t="s">
        <v>432</v>
      </c>
      <c r="D35" s="13">
        <f>SUM(D$30:D34)</f>
        <v>0</v>
      </c>
      <c r="E35" s="13">
        <f>SUM(E$30:E34)</f>
        <v>0</v>
      </c>
      <c r="F35" s="13">
        <f>SUM(F$30:F34)</f>
        <v>0</v>
      </c>
      <c r="G35" s="15"/>
      <c r="H35" s="15"/>
      <c r="I35" s="15"/>
      <c r="J35" s="15"/>
      <c r="K35" s="15"/>
      <c r="L35" s="23" t="s">
        <v>501</v>
      </c>
      <c r="M35" s="23">
        <v>0.4</v>
      </c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1:30" ht="12" customHeight="1" x14ac:dyDescent="0.2">
      <c r="A36" s="84"/>
      <c r="B36" s="83" t="s">
        <v>455</v>
      </c>
      <c r="C36" s="16" t="s">
        <v>456</v>
      </c>
      <c r="D36" s="13">
        <f>$M$14*($M$12-$M$7)</f>
        <v>5539840.7838546168</v>
      </c>
      <c r="E36" s="13">
        <f>$M$16*($M$12-$M$7)/$M$12</f>
        <v>-101323.58544931212</v>
      </c>
      <c r="F36" s="13">
        <f>$M$17*($M$12-$M$7)/$M$12</f>
        <v>0</v>
      </c>
      <c r="G36" s="15"/>
      <c r="H36" s="15"/>
      <c r="I36" s="15"/>
      <c r="J36" s="15"/>
      <c r="K36" s="15"/>
      <c r="L36" s="23" t="s">
        <v>502</v>
      </c>
      <c r="M36" s="23">
        <v>0.1</v>
      </c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1:30" ht="12" customHeight="1" x14ac:dyDescent="0.2">
      <c r="A37" s="84"/>
      <c r="B37" s="85"/>
      <c r="C37" s="16" t="s">
        <v>432</v>
      </c>
      <c r="D37" s="13">
        <f>SUM(D$36:D36)</f>
        <v>5539840.7838546168</v>
      </c>
      <c r="E37" s="13">
        <f>SUM(E$36:E36)</f>
        <v>-101323.58544931212</v>
      </c>
      <c r="F37" s="13">
        <f>SUM(F$36:F36)</f>
        <v>0</v>
      </c>
      <c r="G37" s="15"/>
      <c r="H37" s="15"/>
      <c r="I37" s="15"/>
      <c r="J37" s="15"/>
      <c r="K37" s="15"/>
      <c r="L37" s="23" t="s">
        <v>503</v>
      </c>
      <c r="M37" s="23">
        <v>0</v>
      </c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1:30" ht="12" customHeight="1" x14ac:dyDescent="0.2">
      <c r="A38" s="84"/>
      <c r="B38" s="83" t="s">
        <v>433</v>
      </c>
      <c r="C38" s="16" t="s">
        <v>457</v>
      </c>
      <c r="D38" s="13">
        <v>0</v>
      </c>
      <c r="E38" s="13">
        <v>0</v>
      </c>
      <c r="F38" s="13">
        <v>0</v>
      </c>
      <c r="G38" s="15"/>
      <c r="H38" s="15"/>
      <c r="I38" s="15"/>
      <c r="J38" s="15"/>
      <c r="K38" s="15"/>
      <c r="L38" s="23" t="s">
        <v>504</v>
      </c>
      <c r="M38" s="23">
        <f>IFERROR(VLOOKUP("Convencional1RuralNão se aplicaRURALB2",Descontos!B1:U88,VLOOKUP("Convencional1RuralNão se aplicaRURALB2",Descontos!B1:U88,20,FALSE)+12,FALSE),100)</f>
        <v>0.06</v>
      </c>
      <c r="N38" s="15" t="s">
        <v>561</v>
      </c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1:30" ht="12" customHeight="1" x14ac:dyDescent="0.2">
      <c r="A39" s="84"/>
      <c r="B39" s="84"/>
      <c r="C39" s="16" t="s">
        <v>458</v>
      </c>
      <c r="D39" s="13">
        <v>0</v>
      </c>
      <c r="E39" s="13"/>
      <c r="F39" s="13">
        <f>IF((+$D$11+$D$12+$D$16+$D$17+$D$39)&lt;&gt;0,$M$19*$D$39/(+$D$11+$D$12+$D$16+$D$17+$D$39),0)</f>
        <v>0</v>
      </c>
      <c r="G39" s="15"/>
      <c r="H39" s="15"/>
      <c r="I39" s="15"/>
      <c r="J39" s="15"/>
      <c r="K39" s="15"/>
      <c r="L39" s="23" t="s">
        <v>505</v>
      </c>
      <c r="M39" s="23">
        <f>IFERROR(VLOOKUP("Convencional1RuralCooperativa de eletrificação ruralPlanilha CUSTOB2",Descontos!B1:U88,VLOOKUP("Convencional1RuralCooperativa de eletrificação ruralPlanilha CUSTOB2",Descontos!B1:U88,20,FALSE)+12,FALSE),100)</f>
        <v>0.06</v>
      </c>
      <c r="N39" s="15">
        <v>0.3</v>
      </c>
      <c r="O39" s="15" t="s">
        <v>578</v>
      </c>
      <c r="P39" s="15" t="s">
        <v>579</v>
      </c>
      <c r="Q39" s="15" t="s">
        <v>580</v>
      </c>
      <c r="R39" s="15" t="s">
        <v>581</v>
      </c>
      <c r="S39" s="15" t="s">
        <v>1</v>
      </c>
      <c r="T39" s="15" t="s">
        <v>582</v>
      </c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1:30" ht="12" customHeight="1" x14ac:dyDescent="0.3">
      <c r="A40" s="84"/>
      <c r="B40" s="84"/>
      <c r="C40" s="16" t="s">
        <v>459</v>
      </c>
      <c r="D40" s="13"/>
      <c r="E40" s="13"/>
      <c r="F40" s="13"/>
      <c r="G40" s="15"/>
      <c r="H40" s="15"/>
      <c r="I40" s="15"/>
      <c r="J40" s="15"/>
      <c r="K40" s="15"/>
      <c r="L40" s="23" t="s">
        <v>506</v>
      </c>
      <c r="M40" s="23">
        <f>IFERROR(VLOOKUP("Convencional1RuralServiço público de irrigação ruralPlanilha CUSTOB2",Descontos!B1:U88,VLOOKUP("Convencional1RuralServiço público de irrigação ruralPlanilha CUSTOB2",Descontos!B1:U88,20,FALSE)+12,FALSE),100)</f>
        <v>0.08</v>
      </c>
      <c r="N40" s="15">
        <v>0.4</v>
      </c>
      <c r="O40" s="33"/>
      <c r="P40" s="33"/>
      <c r="Q40" s="33"/>
      <c r="R40" s="33"/>
      <c r="S40" s="33"/>
      <c r="T40" s="33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1:30" ht="12" customHeight="1" x14ac:dyDescent="0.3">
      <c r="A41" s="84"/>
      <c r="B41" s="85"/>
      <c r="C41" s="16" t="s">
        <v>432</v>
      </c>
      <c r="D41" s="13">
        <f>SUM(D$38:D40)</f>
        <v>0</v>
      </c>
      <c r="E41" s="13">
        <f>SUM(E$38:E40)</f>
        <v>0</v>
      </c>
      <c r="F41" s="13">
        <f>SUM(F$38:F40)</f>
        <v>0</v>
      </c>
      <c r="G41" s="15"/>
      <c r="H41" s="15"/>
      <c r="I41" s="15"/>
      <c r="J41" s="15"/>
      <c r="K41" s="15"/>
      <c r="L41" s="15"/>
      <c r="M41" s="15"/>
      <c r="N41" s="15"/>
      <c r="O41" s="33"/>
      <c r="P41" s="33"/>
      <c r="Q41" s="33"/>
      <c r="R41" s="33"/>
      <c r="S41" s="33"/>
      <c r="T41" s="33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1:30" ht="12" customHeight="1" x14ac:dyDescent="0.3">
      <c r="A42" s="84"/>
      <c r="B42" s="83" t="s">
        <v>443</v>
      </c>
      <c r="C42" s="16" t="s">
        <v>444</v>
      </c>
      <c r="D42" s="13"/>
      <c r="E42" s="13">
        <f>IF($D$47&lt;&gt;0,($D$46/$D$47)* 0,0)+0</f>
        <v>0</v>
      </c>
      <c r="F42" s="13"/>
      <c r="G42" s="15"/>
      <c r="H42" s="15"/>
      <c r="I42" s="15"/>
      <c r="J42" s="15"/>
      <c r="K42" s="15"/>
      <c r="L42" s="15"/>
      <c r="M42" s="15"/>
      <c r="N42" s="15"/>
      <c r="O42" s="33"/>
      <c r="P42" s="33"/>
      <c r="Q42" s="33"/>
      <c r="R42" s="33"/>
      <c r="S42" s="33"/>
      <c r="T42" s="33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1:30" ht="12" customHeight="1" x14ac:dyDescent="0.3">
      <c r="A43" s="84"/>
      <c r="B43" s="85"/>
      <c r="C43" s="16" t="s">
        <v>432</v>
      </c>
      <c r="D43" s="13">
        <f>SUM(D$42:D42)</f>
        <v>0</v>
      </c>
      <c r="E43" s="13">
        <f>SUM(E$42:E42)</f>
        <v>0</v>
      </c>
      <c r="F43" s="13">
        <f>SUM(F$42:F42)</f>
        <v>0</v>
      </c>
      <c r="G43" s="15"/>
      <c r="H43" s="15"/>
      <c r="I43" s="15"/>
      <c r="J43" s="15"/>
      <c r="K43" s="15"/>
      <c r="L43" s="15"/>
      <c r="M43" s="15"/>
      <c r="N43" s="15"/>
      <c r="O43" s="33"/>
      <c r="P43" s="33"/>
      <c r="Q43" s="33"/>
      <c r="R43" s="33"/>
      <c r="S43" s="33"/>
      <c r="T43" s="33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1:30" ht="12" customHeight="1" x14ac:dyDescent="0.3">
      <c r="A44" s="84"/>
      <c r="B44" s="83" t="s">
        <v>446</v>
      </c>
      <c r="C44" s="16" t="s">
        <v>460</v>
      </c>
      <c r="D44" s="13">
        <f>$M$14*$M$11</f>
        <v>0</v>
      </c>
      <c r="E44" s="13">
        <f>$M$16*$M$11/$M$12</f>
        <v>0</v>
      </c>
      <c r="F44" s="13">
        <f>$M$17*$M$11/$M$12</f>
        <v>0</v>
      </c>
      <c r="G44" s="15"/>
      <c r="H44" s="15"/>
      <c r="I44" s="15"/>
      <c r="J44" s="15"/>
      <c r="K44" s="15"/>
      <c r="L44" s="15"/>
      <c r="M44" s="15"/>
      <c r="N44" s="15"/>
      <c r="O44" s="33"/>
      <c r="P44" s="33"/>
      <c r="Q44" s="33"/>
      <c r="R44" s="33"/>
      <c r="S44" s="33"/>
      <c r="T44" s="33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1:30" ht="12" customHeight="1" x14ac:dyDescent="0.3">
      <c r="A45" s="84"/>
      <c r="B45" s="85"/>
      <c r="C45" s="16" t="s">
        <v>432</v>
      </c>
      <c r="D45" s="13">
        <f>SUM(D$44:D44)</f>
        <v>0</v>
      </c>
      <c r="E45" s="13">
        <f>SUM(E$44:E44)</f>
        <v>0</v>
      </c>
      <c r="F45" s="13">
        <f>SUM(F$44:F44)</f>
        <v>0</v>
      </c>
      <c r="G45" s="15"/>
      <c r="H45" s="15"/>
      <c r="I45" s="15"/>
      <c r="J45" s="15"/>
      <c r="K45" s="15"/>
      <c r="L45" s="15"/>
      <c r="M45" s="15"/>
      <c r="N45" s="15"/>
      <c r="O45" s="33"/>
      <c r="P45" s="33"/>
      <c r="Q45" s="33"/>
      <c r="R45" s="33"/>
      <c r="S45" s="33"/>
      <c r="T45" s="33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1:30" ht="12" customHeight="1" x14ac:dyDescent="0.3">
      <c r="A46" s="85"/>
      <c r="B46" s="79" t="s">
        <v>432</v>
      </c>
      <c r="C46" s="81"/>
      <c r="D46" s="13">
        <f>SUMIF(C$30:C45,"SUBTOTAL",D$30:D45)</f>
        <v>5539840.7838546168</v>
      </c>
      <c r="E46" s="13">
        <f>SUMIF(C$30:C45,"SUBTOTAL",E$30:E45)</f>
        <v>-101323.58544931212</v>
      </c>
      <c r="F46" s="13">
        <f>SUMIF(C$30:C45,"SUBTOTAL",F$30:F45)</f>
        <v>0</v>
      </c>
      <c r="G46" s="15"/>
      <c r="H46" s="15"/>
      <c r="I46" s="15"/>
      <c r="J46" s="15"/>
      <c r="K46" s="15"/>
      <c r="L46" s="15"/>
      <c r="M46" s="15"/>
      <c r="N46" s="15"/>
      <c r="O46" s="33"/>
      <c r="P46" s="33"/>
      <c r="Q46" s="33"/>
      <c r="R46" s="33"/>
      <c r="S46" s="33"/>
      <c r="T46" s="33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1:30" ht="12" customHeight="1" x14ac:dyDescent="0.3">
      <c r="A47" s="79" t="s">
        <v>461</v>
      </c>
      <c r="B47" s="80"/>
      <c r="C47" s="81"/>
      <c r="D47" s="13">
        <f>SUMIF(C$2:C46,"SUBTOTAL",D$2:D46)</f>
        <v>29639496.445104681</v>
      </c>
      <c r="E47" s="13">
        <f>SUMIF(C$2:C46,"SUBTOTAL",E$2:E46)</f>
        <v>-2840168.9854412358</v>
      </c>
      <c r="F47" s="13">
        <f>SUMIF(C$2:C46,"SUBTOTAL",F$2:F46)</f>
        <v>0</v>
      </c>
      <c r="G47" s="15">
        <f ca="1">EFEITO!AU9+SUBSIDIO!AJ5+SUBSIDIO!AJ6+SUBSIDIO!AJ8</f>
        <v>26799327.45966313</v>
      </c>
      <c r="H47" s="15"/>
      <c r="I47" s="15"/>
      <c r="J47" s="15"/>
      <c r="K47" s="15"/>
      <c r="L47" s="15"/>
      <c r="M47" s="15"/>
      <c r="N47" s="15"/>
      <c r="O47" s="33"/>
      <c r="P47" s="33"/>
      <c r="Q47" s="33"/>
      <c r="R47" s="33"/>
      <c r="S47" s="33"/>
      <c r="T47" s="33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1:30" ht="12" customHeight="1" x14ac:dyDescent="0.3">
      <c r="A48" s="77" t="s">
        <v>553</v>
      </c>
      <c r="B48" s="78"/>
      <c r="C48" s="78"/>
      <c r="D48" s="26">
        <f ca="1">'TUSD BE'!$AM$53+'TUSD BE'!$AM$57+'TE BE'!$AB$43</f>
        <v>29639496.445104681</v>
      </c>
      <c r="E48" s="26">
        <f ca="1">'TUSD BF'!$AM$53+'TE BF'!$AB$43</f>
        <v>-2840168.9854412349</v>
      </c>
      <c r="F48" s="26">
        <f ca="1">'TUSD CVA'!$AM$53+'TE CVA'!$AB$43</f>
        <v>0</v>
      </c>
      <c r="G48" s="60">
        <f ca="1">D48+E48</f>
        <v>26799327.459663447</v>
      </c>
      <c r="L48" s="55"/>
      <c r="M48" s="23"/>
      <c r="O48" s="33"/>
      <c r="P48" s="33"/>
      <c r="Q48" s="33"/>
      <c r="R48" s="33"/>
      <c r="S48" s="33"/>
      <c r="T48" s="33"/>
    </row>
    <row r="49" spans="1:20" ht="12" customHeight="1" x14ac:dyDescent="0.3">
      <c r="A49" s="77" t="s">
        <v>554</v>
      </c>
      <c r="B49" s="78"/>
      <c r="C49" s="78"/>
      <c r="D49" s="27" t="str">
        <f ca="1">IF(ABS(D48-D47)&gt;1,"ERRO","OK")</f>
        <v>OK</v>
      </c>
      <c r="E49" s="27" t="str">
        <f ca="1">IF(ABS(E48-E47)&gt;1,"ERRO","OK")</f>
        <v>OK</v>
      </c>
      <c r="F49" s="27" t="str">
        <f ca="1">IF(ABS(F48-F47)&gt;1,"ERRO","OK")</f>
        <v>OK</v>
      </c>
      <c r="L49" s="55"/>
      <c r="M49" s="23"/>
      <c r="O49" s="33"/>
      <c r="P49" s="33"/>
      <c r="Q49" s="33"/>
      <c r="R49" s="33"/>
      <c r="S49" s="33"/>
      <c r="T49" s="33"/>
    </row>
    <row r="50" spans="1:20" ht="12" customHeight="1" x14ac:dyDescent="0.3">
      <c r="L50" s="55"/>
      <c r="M50" s="23"/>
      <c r="O50" s="33"/>
      <c r="P50" s="33"/>
      <c r="Q50" s="33"/>
      <c r="R50" s="33"/>
      <c r="S50" s="33"/>
      <c r="T50" s="33"/>
    </row>
    <row r="51" spans="1:20" ht="12" customHeight="1" x14ac:dyDescent="0.3">
      <c r="D51" s="14">
        <v>29639496.445104681</v>
      </c>
      <c r="E51" s="14">
        <v>-2840168.9854412354</v>
      </c>
      <c r="L51" s="51" t="s">
        <v>507</v>
      </c>
      <c r="M51" s="59">
        <v>0</v>
      </c>
      <c r="O51" s="33"/>
      <c r="P51" s="33"/>
      <c r="Q51" s="33"/>
      <c r="R51" s="33"/>
      <c r="S51" s="33"/>
      <c r="T51" s="33"/>
    </row>
    <row r="52" spans="1:20" ht="12" customHeight="1" x14ac:dyDescent="0.3">
      <c r="D52" s="60">
        <f>D47-D51</f>
        <v>0</v>
      </c>
      <c r="E52" s="60">
        <f>E47-E51</f>
        <v>0</v>
      </c>
      <c r="O52" s="33"/>
      <c r="P52" s="33"/>
      <c r="Q52" s="33"/>
      <c r="R52" s="33"/>
      <c r="S52" s="33"/>
      <c r="T52" s="33"/>
    </row>
    <row r="53" spans="1:20" ht="12" customHeight="1" x14ac:dyDescent="0.3">
      <c r="O53" s="33"/>
      <c r="P53" s="33"/>
      <c r="Q53" s="33"/>
      <c r="R53" s="33"/>
      <c r="S53" s="33"/>
      <c r="T53" s="33"/>
    </row>
    <row r="54" spans="1:20" ht="12" customHeight="1" x14ac:dyDescent="0.3">
      <c r="O54" s="33"/>
      <c r="P54" s="33"/>
      <c r="Q54" s="33"/>
      <c r="R54" s="33"/>
      <c r="S54" s="33"/>
      <c r="T54" s="33"/>
    </row>
    <row r="55" spans="1:20" ht="12" customHeight="1" x14ac:dyDescent="0.3">
      <c r="O55" s="33"/>
      <c r="P55" s="33"/>
      <c r="Q55" s="33"/>
      <c r="R55" s="33"/>
      <c r="S55" s="33"/>
      <c r="T55" s="33"/>
    </row>
    <row r="56" spans="1:20" ht="12" customHeight="1" x14ac:dyDescent="0.3">
      <c r="O56" s="33"/>
      <c r="P56" s="33"/>
      <c r="Q56" s="33"/>
      <c r="R56" s="33"/>
      <c r="S56" s="33"/>
      <c r="T56" s="33"/>
    </row>
    <row r="57" spans="1:20" ht="12" customHeight="1" x14ac:dyDescent="0.3">
      <c r="O57" s="33"/>
      <c r="P57" s="33"/>
      <c r="Q57" s="33"/>
      <c r="R57" s="33"/>
      <c r="S57" s="33"/>
      <c r="T57" s="33"/>
    </row>
    <row r="58" spans="1:20" ht="12" customHeight="1" x14ac:dyDescent="0.3">
      <c r="O58" s="33"/>
      <c r="P58" s="33"/>
      <c r="Q58" s="33"/>
      <c r="R58" s="33"/>
      <c r="S58" s="33"/>
      <c r="T58" s="33"/>
    </row>
    <row r="59" spans="1:20" ht="12" customHeight="1" x14ac:dyDescent="0.3">
      <c r="O59" s="33"/>
      <c r="P59" s="33"/>
      <c r="Q59" s="33"/>
      <c r="R59" s="33"/>
      <c r="S59" s="33"/>
      <c r="T59" s="33"/>
    </row>
    <row r="60" spans="1:20" ht="12" customHeight="1" x14ac:dyDescent="0.3">
      <c r="O60" s="33"/>
      <c r="P60" s="33"/>
      <c r="Q60" s="33"/>
      <c r="R60" s="33"/>
      <c r="S60" s="33"/>
      <c r="T60" s="33"/>
    </row>
    <row r="61" spans="1:20" ht="12" customHeight="1" x14ac:dyDescent="0.3">
      <c r="O61" s="33"/>
      <c r="P61" s="33"/>
      <c r="Q61" s="33"/>
      <c r="R61" s="33"/>
      <c r="S61" s="33"/>
      <c r="T61" s="33"/>
    </row>
    <row r="62" spans="1:20" ht="12" customHeight="1" x14ac:dyDescent="0.3">
      <c r="O62" s="33"/>
      <c r="P62" s="33"/>
      <c r="Q62" s="33"/>
      <c r="R62" s="33"/>
      <c r="S62" s="33"/>
      <c r="T62" s="33"/>
    </row>
    <row r="63" spans="1:20" ht="12" customHeight="1" x14ac:dyDescent="0.3">
      <c r="O63" s="33"/>
      <c r="P63" s="33"/>
      <c r="Q63" s="33"/>
      <c r="R63" s="33"/>
      <c r="S63" s="33"/>
      <c r="T63" s="33"/>
    </row>
    <row r="64" spans="1:20" ht="12" customHeight="1" x14ac:dyDescent="0.3">
      <c r="O64" s="33"/>
      <c r="P64" s="33"/>
      <c r="Q64" s="33"/>
      <c r="R64" s="33"/>
      <c r="S64" s="33"/>
      <c r="T64" s="33"/>
    </row>
    <row r="65" spans="15:20" ht="12" customHeight="1" x14ac:dyDescent="0.3">
      <c r="O65" s="33"/>
      <c r="P65" s="33"/>
      <c r="Q65" s="33"/>
      <c r="R65" s="33"/>
      <c r="S65" s="33"/>
      <c r="T65" s="33"/>
    </row>
    <row r="66" spans="15:20" ht="12" customHeight="1" x14ac:dyDescent="0.3">
      <c r="O66" s="33"/>
      <c r="P66" s="33"/>
      <c r="Q66" s="33"/>
      <c r="R66" s="33"/>
      <c r="S66" s="33"/>
      <c r="T66" s="33"/>
    </row>
    <row r="67" spans="15:20" ht="12" customHeight="1" x14ac:dyDescent="0.3">
      <c r="O67" s="33"/>
      <c r="P67" s="33"/>
      <c r="Q67" s="33"/>
      <c r="R67" s="33"/>
      <c r="S67" s="33"/>
      <c r="T67" s="33"/>
    </row>
    <row r="68" spans="15:20" ht="12" customHeight="1" x14ac:dyDescent="0.3">
      <c r="O68" s="33"/>
      <c r="P68" s="33"/>
      <c r="Q68" s="33"/>
      <c r="R68" s="33"/>
      <c r="S68" s="33"/>
      <c r="T68" s="33"/>
    </row>
    <row r="69" spans="15:20" ht="12" customHeight="1" x14ac:dyDescent="0.3">
      <c r="O69" s="33"/>
      <c r="P69" s="33"/>
      <c r="Q69" s="33"/>
      <c r="R69" s="33"/>
      <c r="S69" s="33"/>
      <c r="T69" s="33"/>
    </row>
    <row r="70" spans="15:20" ht="12" customHeight="1" x14ac:dyDescent="0.3">
      <c r="O70" s="33"/>
      <c r="P70" s="33"/>
      <c r="Q70" s="33"/>
      <c r="R70" s="33"/>
      <c r="S70" s="33"/>
      <c r="T70" s="33"/>
    </row>
    <row r="71" spans="15:20" ht="12" customHeight="1" x14ac:dyDescent="0.3">
      <c r="O71" s="33"/>
      <c r="P71" s="33"/>
      <c r="Q71" s="33"/>
      <c r="R71" s="33"/>
      <c r="S71" s="33"/>
      <c r="T71" s="33"/>
    </row>
    <row r="72" spans="15:20" ht="12" customHeight="1" x14ac:dyDescent="0.3">
      <c r="O72" s="33"/>
      <c r="P72" s="33"/>
      <c r="Q72" s="33"/>
      <c r="R72" s="33"/>
      <c r="S72" s="33"/>
      <c r="T72" s="33"/>
    </row>
    <row r="73" spans="15:20" ht="12" customHeight="1" x14ac:dyDescent="0.3">
      <c r="O73" s="33"/>
      <c r="P73" s="33"/>
      <c r="Q73" s="33"/>
      <c r="R73" s="33"/>
      <c r="S73" s="33"/>
      <c r="T73" s="33"/>
    </row>
    <row r="74" spans="15:20" ht="12" customHeight="1" x14ac:dyDescent="0.3">
      <c r="O74" s="33"/>
      <c r="P74" s="33"/>
      <c r="Q74" s="33"/>
      <c r="R74" s="33"/>
      <c r="S74" s="33"/>
      <c r="T74" s="33"/>
    </row>
    <row r="75" spans="15:20" ht="12" customHeight="1" x14ac:dyDescent="0.3">
      <c r="O75" s="33"/>
      <c r="P75" s="33"/>
      <c r="Q75" s="33"/>
      <c r="R75" s="33"/>
      <c r="S75" s="33"/>
      <c r="T75" s="33"/>
    </row>
    <row r="76" spans="15:20" ht="12" customHeight="1" x14ac:dyDescent="0.3">
      <c r="O76" s="33"/>
      <c r="P76" s="33"/>
      <c r="Q76" s="33"/>
      <c r="R76" s="33"/>
      <c r="S76" s="33"/>
      <c r="T76" s="33"/>
    </row>
    <row r="77" spans="15:20" ht="12" customHeight="1" x14ac:dyDescent="0.3">
      <c r="O77" s="33"/>
      <c r="P77" s="33"/>
      <c r="Q77" s="33"/>
      <c r="R77" s="33"/>
      <c r="S77" s="33"/>
      <c r="T77" s="33"/>
    </row>
    <row r="78" spans="15:20" ht="12" customHeight="1" x14ac:dyDescent="0.3">
      <c r="O78" s="33"/>
      <c r="P78" s="33"/>
      <c r="Q78" s="33"/>
      <c r="R78" s="33"/>
      <c r="S78" s="33"/>
      <c r="T78" s="33"/>
    </row>
    <row r="79" spans="15:20" ht="12" customHeight="1" x14ac:dyDescent="0.3">
      <c r="O79" s="33"/>
      <c r="P79" s="33"/>
      <c r="Q79" s="33"/>
      <c r="R79" s="33"/>
      <c r="S79" s="33"/>
      <c r="T79" s="33"/>
    </row>
    <row r="80" spans="15:20" ht="12" customHeight="1" x14ac:dyDescent="0.3">
      <c r="O80" s="33"/>
      <c r="P80" s="33"/>
      <c r="Q80" s="33"/>
      <c r="R80" s="33"/>
      <c r="S80" s="33"/>
      <c r="T80" s="33"/>
    </row>
    <row r="81" spans="15:20" ht="12" customHeight="1" x14ac:dyDescent="0.3">
      <c r="O81" s="33"/>
      <c r="P81" s="33"/>
      <c r="Q81" s="33"/>
      <c r="R81" s="33"/>
      <c r="S81" s="33"/>
      <c r="T81" s="33"/>
    </row>
    <row r="82" spans="15:20" ht="12" customHeight="1" x14ac:dyDescent="0.3">
      <c r="O82" s="33"/>
      <c r="P82" s="33"/>
      <c r="Q82" s="33"/>
      <c r="R82" s="33"/>
      <c r="S82" s="33"/>
      <c r="T82" s="33"/>
    </row>
    <row r="83" spans="15:20" ht="12" customHeight="1" x14ac:dyDescent="0.3">
      <c r="O83" s="33"/>
      <c r="P83" s="33"/>
      <c r="Q83" s="33"/>
      <c r="R83" s="33"/>
      <c r="S83" s="33"/>
      <c r="T83" s="33"/>
    </row>
    <row r="84" spans="15:20" ht="12" customHeight="1" x14ac:dyDescent="0.3">
      <c r="O84" s="33"/>
      <c r="P84" s="33"/>
      <c r="Q84" s="33"/>
      <c r="R84" s="33"/>
      <c r="S84" s="33"/>
      <c r="T84" s="33"/>
    </row>
    <row r="85" spans="15:20" ht="12" customHeight="1" x14ac:dyDescent="0.3">
      <c r="O85" s="33"/>
      <c r="P85" s="33"/>
      <c r="Q85" s="33"/>
      <c r="R85" s="33"/>
      <c r="S85" s="33"/>
      <c r="T85" s="33"/>
    </row>
    <row r="86" spans="15:20" ht="12" customHeight="1" x14ac:dyDescent="0.3">
      <c r="O86" s="33"/>
      <c r="P86" s="33"/>
      <c r="Q86" s="33"/>
      <c r="R86" s="33"/>
      <c r="S86" s="33"/>
      <c r="T86" s="33"/>
    </row>
    <row r="87" spans="15:20" ht="12" customHeight="1" x14ac:dyDescent="0.3">
      <c r="O87" s="33"/>
      <c r="P87" s="33"/>
      <c r="Q87" s="33"/>
      <c r="R87" s="33"/>
      <c r="S87" s="33"/>
      <c r="T87" s="33"/>
    </row>
    <row r="88" spans="15:20" ht="12" customHeight="1" x14ac:dyDescent="0.3">
      <c r="O88" s="33"/>
      <c r="P88" s="33"/>
      <c r="Q88" s="33"/>
      <c r="R88" s="33"/>
      <c r="S88" s="33"/>
      <c r="T88" s="33"/>
    </row>
    <row r="89" spans="15:20" ht="12" customHeight="1" x14ac:dyDescent="0.3">
      <c r="O89" s="33"/>
      <c r="P89" s="33"/>
      <c r="Q89" s="33"/>
      <c r="R89" s="33"/>
      <c r="S89" s="33"/>
      <c r="T89" s="33"/>
    </row>
    <row r="90" spans="15:20" ht="12" customHeight="1" x14ac:dyDescent="0.3">
      <c r="O90" s="33"/>
      <c r="P90" s="33"/>
      <c r="Q90" s="33"/>
      <c r="R90" s="33"/>
      <c r="S90" s="33"/>
      <c r="T90" s="33"/>
    </row>
    <row r="91" spans="15:20" ht="12" customHeight="1" x14ac:dyDescent="0.3">
      <c r="O91" s="33"/>
      <c r="P91" s="33"/>
      <c r="Q91" s="33"/>
      <c r="R91" s="33"/>
      <c r="S91" s="33"/>
      <c r="T91" s="33"/>
    </row>
    <row r="92" spans="15:20" ht="12" customHeight="1" x14ac:dyDescent="0.3">
      <c r="O92" s="33"/>
      <c r="P92" s="33"/>
      <c r="Q92" s="33"/>
      <c r="R92" s="33"/>
      <c r="S92" s="33"/>
      <c r="T92" s="33"/>
    </row>
    <row r="93" spans="15:20" ht="12" customHeight="1" x14ac:dyDescent="0.3">
      <c r="O93" s="33"/>
      <c r="P93" s="33"/>
      <c r="Q93" s="33"/>
      <c r="R93" s="33"/>
      <c r="S93" s="33"/>
      <c r="T93" s="33"/>
    </row>
    <row r="94" spans="15:20" ht="12" customHeight="1" x14ac:dyDescent="0.3">
      <c r="O94" s="33"/>
      <c r="P94" s="33"/>
      <c r="Q94" s="33"/>
      <c r="R94" s="33"/>
      <c r="S94" s="33"/>
      <c r="T94" s="33"/>
    </row>
    <row r="95" spans="15:20" ht="12" customHeight="1" x14ac:dyDescent="0.3">
      <c r="O95" s="33"/>
      <c r="P95" s="33"/>
      <c r="Q95" s="33"/>
      <c r="R95" s="33"/>
      <c r="S95" s="33"/>
      <c r="T95" s="33"/>
    </row>
    <row r="96" spans="15:20" ht="12" customHeight="1" x14ac:dyDescent="0.3">
      <c r="O96" s="33"/>
      <c r="P96" s="33"/>
      <c r="Q96" s="33"/>
      <c r="R96" s="33"/>
      <c r="S96" s="33"/>
      <c r="T96" s="33"/>
    </row>
    <row r="97" spans="15:30" ht="12" customHeight="1" x14ac:dyDescent="0.3">
      <c r="O97" s="33"/>
      <c r="P97" s="33"/>
      <c r="Q97" s="33"/>
      <c r="R97" s="33"/>
      <c r="S97" s="33"/>
      <c r="T97" s="33"/>
    </row>
    <row r="98" spans="15:30" ht="12" customHeight="1" x14ac:dyDescent="0.3">
      <c r="O98" s="33"/>
      <c r="P98" s="33"/>
      <c r="Q98" s="33"/>
      <c r="R98" s="33"/>
      <c r="S98" s="33"/>
      <c r="T98" s="33"/>
    </row>
    <row r="99" spans="15:30" ht="12" customHeight="1" x14ac:dyDescent="0.3">
      <c r="O99" s="32"/>
      <c r="P99" s="32"/>
      <c r="Q99" s="32"/>
      <c r="R99" s="32"/>
      <c r="S99" s="32"/>
      <c r="T99" s="32"/>
    </row>
    <row r="100" spans="15:30" ht="12" customHeight="1" x14ac:dyDescent="0.3">
      <c r="O100" s="34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</row>
    <row r="101" spans="15:30" ht="12" customHeight="1" x14ac:dyDescent="0.3">
      <c r="O101" s="33" t="s">
        <v>578</v>
      </c>
      <c r="P101" s="33" t="s">
        <v>583</v>
      </c>
      <c r="Q101" s="33" t="s">
        <v>584</v>
      </c>
      <c r="R101" s="33" t="s">
        <v>585</v>
      </c>
      <c r="S101" s="33" t="s">
        <v>586</v>
      </c>
      <c r="T101" s="33" t="s">
        <v>587</v>
      </c>
      <c r="U101" s="33" t="s">
        <v>588</v>
      </c>
      <c r="V101" s="33" t="s">
        <v>589</v>
      </c>
      <c r="W101" s="33"/>
      <c r="X101" s="33"/>
      <c r="Y101" s="33"/>
      <c r="Z101" s="33"/>
      <c r="AA101" s="33"/>
      <c r="AB101" s="33"/>
      <c r="AC101" s="33"/>
      <c r="AD101" s="33"/>
    </row>
    <row r="102" spans="15:30" ht="12" customHeight="1" x14ac:dyDescent="0.3">
      <c r="O102" s="33" t="s">
        <v>34</v>
      </c>
      <c r="P102" s="33" t="s">
        <v>50</v>
      </c>
      <c r="Q102" s="33" t="s">
        <v>35</v>
      </c>
      <c r="R102" s="33" t="s">
        <v>43</v>
      </c>
      <c r="S102" s="33" t="s">
        <v>25</v>
      </c>
      <c r="T102" s="33" t="s">
        <v>590</v>
      </c>
      <c r="U102" s="33">
        <v>4</v>
      </c>
      <c r="V102" s="33">
        <v>0.1</v>
      </c>
      <c r="W102" s="33">
        <v>0.08</v>
      </c>
      <c r="X102" s="33">
        <v>0.06</v>
      </c>
      <c r="Y102" s="33">
        <v>0.04</v>
      </c>
      <c r="Z102" s="33">
        <v>0.02</v>
      </c>
      <c r="AA102" s="33">
        <v>0</v>
      </c>
      <c r="AB102" s="33"/>
      <c r="AC102" s="33"/>
      <c r="AD102" s="33"/>
    </row>
    <row r="103" spans="15:30" ht="12" customHeight="1" x14ac:dyDescent="0.3">
      <c r="O103" s="33" t="s">
        <v>34</v>
      </c>
      <c r="P103" s="33" t="s">
        <v>50</v>
      </c>
      <c r="Q103" s="33" t="s">
        <v>35</v>
      </c>
      <c r="R103" s="33" t="s">
        <v>48</v>
      </c>
      <c r="S103" s="33" t="s">
        <v>49</v>
      </c>
      <c r="T103" s="33" t="s">
        <v>591</v>
      </c>
      <c r="U103" s="33">
        <v>4</v>
      </c>
      <c r="V103" s="33">
        <v>0.15</v>
      </c>
      <c r="W103" s="33">
        <v>0.12</v>
      </c>
      <c r="X103" s="33">
        <v>0.09</v>
      </c>
      <c r="Y103" s="33">
        <v>0.06</v>
      </c>
      <c r="Z103" s="33">
        <v>0.03</v>
      </c>
      <c r="AA103" s="33">
        <v>0</v>
      </c>
      <c r="AB103" s="33"/>
      <c r="AC103" s="33"/>
      <c r="AD103" s="33"/>
    </row>
    <row r="104" spans="15:30" ht="12" customHeight="1" x14ac:dyDescent="0.3">
      <c r="O104" s="33" t="s">
        <v>34</v>
      </c>
      <c r="P104" s="33" t="s">
        <v>592</v>
      </c>
      <c r="Q104" s="33" t="s">
        <v>42</v>
      </c>
      <c r="R104" s="33" t="s">
        <v>43</v>
      </c>
      <c r="S104" s="33" t="s">
        <v>85</v>
      </c>
      <c r="T104" s="33" t="s">
        <v>591</v>
      </c>
      <c r="U104" s="33">
        <v>4</v>
      </c>
      <c r="V104" s="33">
        <v>0.3</v>
      </c>
      <c r="W104" s="33">
        <v>0.24</v>
      </c>
      <c r="X104" s="33">
        <v>0.18</v>
      </c>
      <c r="Y104" s="33">
        <v>0.12</v>
      </c>
      <c r="Z104" s="33">
        <v>0.06</v>
      </c>
      <c r="AA104" s="33">
        <v>0</v>
      </c>
      <c r="AB104" s="33"/>
      <c r="AC104" s="33"/>
      <c r="AD104" s="33"/>
    </row>
    <row r="105" spans="15:30" ht="12" customHeight="1" x14ac:dyDescent="0.3">
      <c r="O105" s="33" t="s">
        <v>34</v>
      </c>
      <c r="P105" s="33" t="s">
        <v>39</v>
      </c>
      <c r="Q105" s="33" t="s">
        <v>42</v>
      </c>
      <c r="R105" s="33" t="s">
        <v>43</v>
      </c>
      <c r="S105" s="33" t="s">
        <v>25</v>
      </c>
      <c r="T105" s="33" t="s">
        <v>43</v>
      </c>
      <c r="U105" s="33">
        <v>4</v>
      </c>
      <c r="V105" s="33">
        <v>0.3</v>
      </c>
      <c r="W105" s="33">
        <v>0.24</v>
      </c>
      <c r="X105" s="33">
        <v>0.18</v>
      </c>
      <c r="Y105" s="33">
        <v>0.12</v>
      </c>
      <c r="Z105" s="33">
        <v>0.06</v>
      </c>
      <c r="AA105" s="33">
        <v>0</v>
      </c>
      <c r="AB105" s="33"/>
      <c r="AC105" s="33"/>
      <c r="AD105" s="33"/>
    </row>
    <row r="106" spans="15:30" ht="12" customHeight="1" x14ac:dyDescent="0.3">
      <c r="O106" s="33" t="s">
        <v>34</v>
      </c>
      <c r="P106" s="33" t="s">
        <v>592</v>
      </c>
      <c r="Q106" s="33" t="s">
        <v>42</v>
      </c>
      <c r="R106" s="33" t="s">
        <v>43</v>
      </c>
      <c r="S106" s="33" t="s">
        <v>86</v>
      </c>
      <c r="T106" s="33" t="s">
        <v>591</v>
      </c>
      <c r="U106" s="33">
        <v>4</v>
      </c>
      <c r="V106" s="33">
        <v>0.4</v>
      </c>
      <c r="W106" s="33">
        <v>0.32</v>
      </c>
      <c r="X106" s="33">
        <v>0.24</v>
      </c>
      <c r="Y106" s="33">
        <v>0.16</v>
      </c>
      <c r="Z106" s="33">
        <v>0.08</v>
      </c>
      <c r="AA106" s="33">
        <v>0</v>
      </c>
      <c r="AB106" s="33"/>
      <c r="AC106" s="33"/>
      <c r="AD106" s="33"/>
    </row>
    <row r="107" spans="15:30" ht="12" customHeight="1" x14ac:dyDescent="0.3">
      <c r="O107" s="33" t="s">
        <v>34</v>
      </c>
      <c r="P107" s="33" t="s">
        <v>39</v>
      </c>
      <c r="Q107" s="33" t="s">
        <v>33</v>
      </c>
      <c r="R107" s="33" t="s">
        <v>48</v>
      </c>
      <c r="S107" s="33" t="s">
        <v>49</v>
      </c>
      <c r="T107" s="33" t="s">
        <v>591</v>
      </c>
      <c r="U107" s="33">
        <v>4</v>
      </c>
      <c r="V107" s="33">
        <v>0.15</v>
      </c>
      <c r="W107" s="33">
        <v>0.12</v>
      </c>
      <c r="X107" s="33">
        <v>0.09</v>
      </c>
      <c r="Y107" s="33">
        <v>0.06</v>
      </c>
      <c r="Z107" s="33">
        <v>0.03</v>
      </c>
      <c r="AA107" s="33">
        <v>0</v>
      </c>
      <c r="AB107" s="33"/>
      <c r="AC107" s="33"/>
      <c r="AD107" s="33"/>
    </row>
    <row r="108" spans="15:30" ht="12" customHeight="1" x14ac:dyDescent="0.3">
      <c r="O108" s="33" t="s">
        <v>34</v>
      </c>
      <c r="P108" s="33" t="s">
        <v>23</v>
      </c>
      <c r="Q108" s="33" t="s">
        <v>35</v>
      </c>
      <c r="R108" s="33" t="s">
        <v>43</v>
      </c>
      <c r="S108" s="33" t="s">
        <v>25</v>
      </c>
      <c r="T108" s="33" t="s">
        <v>590</v>
      </c>
      <c r="U108" s="33">
        <v>4</v>
      </c>
      <c r="V108" s="33">
        <v>0.1</v>
      </c>
      <c r="W108" s="33">
        <v>0.08</v>
      </c>
      <c r="X108" s="33">
        <v>0.06</v>
      </c>
      <c r="Y108" s="33">
        <v>0.04</v>
      </c>
      <c r="Z108" s="33">
        <v>0.02</v>
      </c>
      <c r="AA108" s="33">
        <v>0</v>
      </c>
      <c r="AB108" s="33"/>
      <c r="AC108" s="33"/>
      <c r="AD108" s="33"/>
    </row>
    <row r="109" spans="15:30" ht="12" customHeight="1" x14ac:dyDescent="0.3">
      <c r="O109" s="33" t="s">
        <v>34</v>
      </c>
      <c r="P109" s="33" t="s">
        <v>593</v>
      </c>
      <c r="Q109" s="33" t="s">
        <v>35</v>
      </c>
      <c r="R109" s="33" t="s">
        <v>48</v>
      </c>
      <c r="S109" s="33" t="s">
        <v>49</v>
      </c>
      <c r="T109" s="33" t="s">
        <v>591</v>
      </c>
      <c r="U109" s="33">
        <v>4</v>
      </c>
      <c r="V109" s="33">
        <v>0.15</v>
      </c>
      <c r="W109" s="33">
        <v>0.12</v>
      </c>
      <c r="X109" s="33">
        <v>0.09</v>
      </c>
      <c r="Y109" s="33">
        <v>0.06</v>
      </c>
      <c r="Z109" s="33">
        <v>0.03</v>
      </c>
      <c r="AA109" s="33">
        <v>0</v>
      </c>
      <c r="AB109" s="33"/>
      <c r="AC109" s="33"/>
      <c r="AD109" s="33"/>
    </row>
    <row r="110" spans="15:30" ht="12" customHeight="1" x14ac:dyDescent="0.3">
      <c r="O110" s="33" t="s">
        <v>34</v>
      </c>
      <c r="P110" s="33" t="s">
        <v>23</v>
      </c>
      <c r="Q110" s="33" t="s">
        <v>42</v>
      </c>
      <c r="R110" s="33" t="s">
        <v>43</v>
      </c>
      <c r="S110" s="33" t="s">
        <v>85</v>
      </c>
      <c r="T110" s="33" t="s">
        <v>591</v>
      </c>
      <c r="U110" s="33">
        <v>4</v>
      </c>
      <c r="V110" s="33">
        <v>0.3</v>
      </c>
      <c r="W110" s="33">
        <v>0.24</v>
      </c>
      <c r="X110" s="33">
        <v>0.18</v>
      </c>
      <c r="Y110" s="33">
        <v>0.12</v>
      </c>
      <c r="Z110" s="33">
        <v>0.06</v>
      </c>
      <c r="AA110" s="33">
        <v>0</v>
      </c>
      <c r="AB110" s="33"/>
      <c r="AC110" s="33"/>
      <c r="AD110" s="33"/>
    </row>
    <row r="111" spans="15:30" ht="12" customHeight="1" x14ac:dyDescent="0.3">
      <c r="O111" s="33" t="s">
        <v>34</v>
      </c>
      <c r="P111" s="33" t="s">
        <v>23</v>
      </c>
      <c r="Q111" s="33" t="s">
        <v>42</v>
      </c>
      <c r="R111" s="33" t="s">
        <v>43</v>
      </c>
      <c r="S111" s="33" t="s">
        <v>25</v>
      </c>
      <c r="T111" s="33" t="s">
        <v>43</v>
      </c>
      <c r="U111" s="33">
        <v>4</v>
      </c>
      <c r="V111" s="33">
        <v>0.3</v>
      </c>
      <c r="W111" s="33">
        <v>0.24</v>
      </c>
      <c r="X111" s="33">
        <v>0.18</v>
      </c>
      <c r="Y111" s="33">
        <v>0.12</v>
      </c>
      <c r="Z111" s="33">
        <v>0.06</v>
      </c>
      <c r="AA111" s="33">
        <v>0</v>
      </c>
      <c r="AB111" s="33"/>
      <c r="AC111" s="33"/>
      <c r="AD111" s="33"/>
    </row>
    <row r="112" spans="15:30" ht="12" customHeight="1" x14ac:dyDescent="0.3">
      <c r="O112" s="33" t="s">
        <v>34</v>
      </c>
      <c r="P112" s="33" t="s">
        <v>23</v>
      </c>
      <c r="Q112" s="33" t="s">
        <v>42</v>
      </c>
      <c r="R112" s="33" t="s">
        <v>43</v>
      </c>
      <c r="S112" s="33" t="s">
        <v>86</v>
      </c>
      <c r="T112" s="33" t="s">
        <v>591</v>
      </c>
      <c r="U112" s="33">
        <v>4</v>
      </c>
      <c r="V112" s="33">
        <v>0.4</v>
      </c>
      <c r="W112" s="33">
        <v>0.32</v>
      </c>
      <c r="X112" s="33">
        <v>0.24</v>
      </c>
      <c r="Y112" s="33">
        <v>0.16</v>
      </c>
      <c r="Z112" s="33">
        <v>0.08</v>
      </c>
      <c r="AA112" s="33">
        <v>0</v>
      </c>
      <c r="AB112" s="33"/>
      <c r="AC112" s="33"/>
      <c r="AD112" s="33"/>
    </row>
    <row r="113" spans="15:30" ht="12" customHeight="1" x14ac:dyDescent="0.3">
      <c r="O113" s="33" t="s">
        <v>34</v>
      </c>
      <c r="P113" s="33" t="s">
        <v>23</v>
      </c>
      <c r="Q113" s="33" t="s">
        <v>33</v>
      </c>
      <c r="R113" s="33" t="s">
        <v>48</v>
      </c>
      <c r="S113" s="33" t="s">
        <v>49</v>
      </c>
      <c r="T113" s="33" t="s">
        <v>591</v>
      </c>
      <c r="U113" s="33">
        <v>4</v>
      </c>
      <c r="V113" s="33">
        <v>0.15</v>
      </c>
      <c r="W113" s="33">
        <v>0.12</v>
      </c>
      <c r="X113" s="33">
        <v>0.09</v>
      </c>
      <c r="Y113" s="33">
        <v>0.06</v>
      </c>
      <c r="Z113" s="33">
        <v>0.03</v>
      </c>
      <c r="AA113" s="33">
        <v>0</v>
      </c>
      <c r="AB113" s="33"/>
      <c r="AC113" s="33"/>
      <c r="AD113" s="33"/>
    </row>
    <row r="114" spans="15:30" ht="12" customHeight="1" x14ac:dyDescent="0.3">
      <c r="O114" s="33" t="s">
        <v>34</v>
      </c>
      <c r="P114" s="33" t="s">
        <v>36</v>
      </c>
      <c r="Q114" s="33" t="s">
        <v>35</v>
      </c>
      <c r="R114" s="33" t="s">
        <v>43</v>
      </c>
      <c r="S114" s="33" t="s">
        <v>25</v>
      </c>
      <c r="T114" s="33" t="s">
        <v>590</v>
      </c>
      <c r="U114" s="33">
        <v>4</v>
      </c>
      <c r="V114" s="33">
        <v>0.1</v>
      </c>
      <c r="W114" s="33">
        <v>0.08</v>
      </c>
      <c r="X114" s="33">
        <v>0.06</v>
      </c>
      <c r="Y114" s="33">
        <v>0.04</v>
      </c>
      <c r="Z114" s="33">
        <v>0.02</v>
      </c>
      <c r="AA114" s="33">
        <v>0</v>
      </c>
      <c r="AB114" s="33"/>
      <c r="AC114" s="33"/>
      <c r="AD114" s="33"/>
    </row>
    <row r="115" spans="15:30" ht="12" customHeight="1" x14ac:dyDescent="0.3">
      <c r="O115" s="33" t="s">
        <v>34</v>
      </c>
      <c r="P115" s="33" t="s">
        <v>36</v>
      </c>
      <c r="Q115" s="33" t="s">
        <v>35</v>
      </c>
      <c r="R115" s="33" t="s">
        <v>48</v>
      </c>
      <c r="S115" s="33" t="s">
        <v>49</v>
      </c>
      <c r="T115" s="33" t="s">
        <v>591</v>
      </c>
      <c r="U115" s="33">
        <v>4</v>
      </c>
      <c r="V115" s="33">
        <v>0.15</v>
      </c>
      <c r="W115" s="33">
        <v>0.12</v>
      </c>
      <c r="X115" s="33">
        <v>0.09</v>
      </c>
      <c r="Y115" s="33">
        <v>0.06</v>
      </c>
      <c r="Z115" s="33">
        <v>0.03</v>
      </c>
      <c r="AA115" s="33">
        <v>0</v>
      </c>
      <c r="AB115" s="33"/>
      <c r="AC115" s="33"/>
      <c r="AD115" s="33"/>
    </row>
    <row r="116" spans="15:30" ht="12" customHeight="1" x14ac:dyDescent="0.3"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</row>
    <row r="117" spans="15:30" ht="12" customHeight="1" x14ac:dyDescent="0.3"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</row>
    <row r="118" spans="15:30" ht="12" customHeight="1" x14ac:dyDescent="0.3"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</row>
    <row r="119" spans="15:30" ht="12" customHeight="1" x14ac:dyDescent="0.3"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</row>
    <row r="120" spans="15:30" ht="12" customHeight="1" x14ac:dyDescent="0.3"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</row>
    <row r="121" spans="15:30" ht="12" customHeight="1" x14ac:dyDescent="0.3"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</row>
    <row r="122" spans="15:30" ht="12" customHeight="1" x14ac:dyDescent="0.3"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</row>
    <row r="123" spans="15:30" ht="12" customHeight="1" x14ac:dyDescent="0.3"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spans="15:30" ht="12" customHeight="1" x14ac:dyDescent="0.3"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spans="15:30" ht="12" customHeight="1" x14ac:dyDescent="0.3"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</row>
    <row r="126" spans="15:30" ht="12" customHeight="1" x14ac:dyDescent="0.3"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</row>
    <row r="127" spans="15:30" ht="12" customHeight="1" x14ac:dyDescent="0.3"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</row>
    <row r="128" spans="15:30" ht="12" customHeight="1" x14ac:dyDescent="0.3"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</row>
    <row r="129" spans="15:30" ht="12" customHeight="1" x14ac:dyDescent="0.3"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</row>
    <row r="130" spans="15:30" ht="12" customHeight="1" x14ac:dyDescent="0.3"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</row>
    <row r="131" spans="15:30" ht="12" customHeight="1" x14ac:dyDescent="0.3"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</row>
    <row r="132" spans="15:30" ht="12" customHeight="1" x14ac:dyDescent="0.3"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</row>
    <row r="133" spans="15:30" ht="12" customHeight="1" x14ac:dyDescent="0.3"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</row>
    <row r="134" spans="15:30" ht="12" customHeight="1" x14ac:dyDescent="0.3"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</row>
    <row r="135" spans="15:30" ht="12" customHeight="1" x14ac:dyDescent="0.3"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</row>
    <row r="136" spans="15:30" ht="12" customHeight="1" x14ac:dyDescent="0.3"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</row>
    <row r="137" spans="15:30" ht="12" customHeight="1" x14ac:dyDescent="0.3"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</row>
    <row r="138" spans="15:30" ht="12" customHeight="1" x14ac:dyDescent="0.3"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</row>
    <row r="139" spans="15:30" ht="12" customHeight="1" x14ac:dyDescent="0.3"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</row>
    <row r="140" spans="15:30" ht="12" customHeight="1" x14ac:dyDescent="0.3"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</row>
    <row r="141" spans="15:30" ht="12" customHeight="1" x14ac:dyDescent="0.3"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</row>
    <row r="142" spans="15:30" ht="12" customHeight="1" x14ac:dyDescent="0.3"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</row>
    <row r="143" spans="15:30" ht="12" customHeight="1" x14ac:dyDescent="0.3"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</row>
    <row r="144" spans="15:30" ht="12" customHeight="1" x14ac:dyDescent="0.3"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</row>
    <row r="145" spans="15:30" ht="12" customHeight="1" x14ac:dyDescent="0.3"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</row>
    <row r="146" spans="15:30" ht="12" customHeight="1" x14ac:dyDescent="0.3"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</row>
    <row r="147" spans="15:30" ht="12" customHeight="1" x14ac:dyDescent="0.3"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</row>
    <row r="148" spans="15:30" ht="12" customHeight="1" x14ac:dyDescent="0.3"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</row>
    <row r="149" spans="15:30" ht="12" customHeight="1" x14ac:dyDescent="0.3"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</row>
    <row r="150" spans="15:30" ht="12" customHeight="1" x14ac:dyDescent="0.3"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</row>
    <row r="151" spans="15:30" ht="12" customHeight="1" x14ac:dyDescent="0.3"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</row>
    <row r="152" spans="15:30" ht="12" customHeight="1" x14ac:dyDescent="0.3"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</row>
    <row r="153" spans="15:30" ht="12" customHeight="1" x14ac:dyDescent="0.3"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</row>
    <row r="154" spans="15:30" ht="12" customHeight="1" x14ac:dyDescent="0.3"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</row>
    <row r="155" spans="15:30" ht="12" customHeight="1" x14ac:dyDescent="0.3"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</row>
    <row r="156" spans="15:30" ht="12" customHeight="1" x14ac:dyDescent="0.3"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</row>
    <row r="157" spans="15:30" ht="12" customHeight="1" x14ac:dyDescent="0.3"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</row>
    <row r="158" spans="15:30" ht="12" customHeight="1" x14ac:dyDescent="0.3"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</row>
    <row r="159" spans="15:30" ht="12" customHeight="1" x14ac:dyDescent="0.3"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</row>
    <row r="160" spans="15:30" ht="12" customHeight="1" x14ac:dyDescent="0.3"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</row>
    <row r="161" spans="15:30" ht="12" customHeight="1" x14ac:dyDescent="0.3"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</row>
    <row r="162" spans="15:30" ht="12" customHeight="1" x14ac:dyDescent="0.3"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</row>
    <row r="163" spans="15:30" ht="12" customHeight="1" x14ac:dyDescent="0.3"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</row>
    <row r="164" spans="15:30" ht="12" customHeight="1" x14ac:dyDescent="0.3"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</row>
    <row r="165" spans="15:30" ht="12" customHeight="1" x14ac:dyDescent="0.3"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</row>
    <row r="166" spans="15:30" ht="12" customHeight="1" x14ac:dyDescent="0.3"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</row>
    <row r="167" spans="15:30" ht="12" customHeight="1" x14ac:dyDescent="0.3"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</row>
    <row r="168" spans="15:30" ht="12" customHeight="1" x14ac:dyDescent="0.3"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</row>
    <row r="169" spans="15:30" ht="12" customHeight="1" x14ac:dyDescent="0.3"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</row>
    <row r="170" spans="15:30" ht="12" customHeight="1" x14ac:dyDescent="0.3"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</row>
    <row r="171" spans="15:30" ht="12" customHeight="1" x14ac:dyDescent="0.3"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</row>
    <row r="172" spans="15:30" ht="12" customHeight="1" x14ac:dyDescent="0.3"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</row>
    <row r="173" spans="15:30" ht="12" customHeight="1" x14ac:dyDescent="0.3"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</row>
    <row r="174" spans="15:30" ht="12" customHeight="1" x14ac:dyDescent="0.3"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</row>
    <row r="175" spans="15:30" ht="12" customHeight="1" x14ac:dyDescent="0.3"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</row>
    <row r="176" spans="15:30" ht="12" customHeight="1" x14ac:dyDescent="0.3"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</row>
    <row r="177" spans="15:30" ht="12" customHeight="1" x14ac:dyDescent="0.3"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</row>
    <row r="178" spans="15:30" ht="12" customHeight="1" x14ac:dyDescent="0.3"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</row>
    <row r="179" spans="15:30" ht="12" customHeight="1" x14ac:dyDescent="0.3"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</row>
    <row r="180" spans="15:30" ht="12" customHeight="1" x14ac:dyDescent="0.3"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</row>
    <row r="181" spans="15:30" ht="12" customHeight="1" x14ac:dyDescent="0.3"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</row>
    <row r="182" spans="15:30" ht="12" customHeight="1" x14ac:dyDescent="0.3"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</row>
    <row r="183" spans="15:30" ht="12" customHeight="1" x14ac:dyDescent="0.3"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</row>
    <row r="184" spans="15:30" ht="12" customHeight="1" x14ac:dyDescent="0.3"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</row>
    <row r="185" spans="15:30" ht="12" customHeight="1" x14ac:dyDescent="0.3"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</row>
    <row r="186" spans="15:30" ht="12" customHeight="1" x14ac:dyDescent="0.3"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</row>
    <row r="187" spans="15:30" ht="12" customHeight="1" x14ac:dyDescent="0.3"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</row>
    <row r="188" spans="15:30" ht="12" customHeight="1" x14ac:dyDescent="0.3"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</row>
    <row r="189" spans="15:30" ht="12" customHeight="1" x14ac:dyDescent="0.3"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</row>
    <row r="190" spans="15:30" ht="12" customHeight="1" x14ac:dyDescent="0.3"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</row>
    <row r="191" spans="15:30" ht="12" customHeight="1" x14ac:dyDescent="0.3"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</row>
    <row r="192" spans="15:30" ht="12" customHeight="1" x14ac:dyDescent="0.3"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</row>
    <row r="193" spans="15:30" ht="12" customHeight="1" x14ac:dyDescent="0.3"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</row>
    <row r="194" spans="15:30" ht="12" customHeight="1" x14ac:dyDescent="0.3"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</row>
    <row r="195" spans="15:30" ht="12" customHeight="1" x14ac:dyDescent="0.3"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</row>
    <row r="196" spans="15:30" ht="12" customHeight="1" x14ac:dyDescent="0.3"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</row>
    <row r="197" spans="15:30" ht="12" customHeight="1" x14ac:dyDescent="0.3"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</row>
    <row r="198" spans="15:30" ht="12" customHeight="1" x14ac:dyDescent="0.3"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</row>
    <row r="199" spans="15:30" ht="12" customHeight="1" x14ac:dyDescent="0.3"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</row>
    <row r="200" spans="15:30" ht="12" customHeight="1" x14ac:dyDescent="0.3"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</row>
  </sheetData>
  <mergeCells count="19">
    <mergeCell ref="B44:B45"/>
    <mergeCell ref="B46:C46"/>
    <mergeCell ref="O1:U1"/>
    <mergeCell ref="A48:C48"/>
    <mergeCell ref="A49:C49"/>
    <mergeCell ref="A47:C47"/>
    <mergeCell ref="L1:M1"/>
    <mergeCell ref="A2:A29"/>
    <mergeCell ref="A30:A46"/>
    <mergeCell ref="B2:B10"/>
    <mergeCell ref="B11:B18"/>
    <mergeCell ref="B19:B20"/>
    <mergeCell ref="B21:B23"/>
    <mergeCell ref="B24:B28"/>
    <mergeCell ref="B29:C29"/>
    <mergeCell ref="B30:B35"/>
    <mergeCell ref="B36:B37"/>
    <mergeCell ref="B38:B41"/>
    <mergeCell ref="B42:B4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DEF85-CABB-4A2A-8DAC-BAD22BE4ED6B}">
  <sheetPr codeName="Planilha7"/>
  <dimension ref="A1:AP51"/>
  <sheetViews>
    <sheetView showGridLines="0" topLeftCell="C35" workbookViewId="0">
      <selection activeCell="K62" sqref="K62:P62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8.664062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10.44140625" style="9" bestFit="1" customWidth="1"/>
    <col min="14" max="14" width="11.6640625" style="9" bestFit="1" customWidth="1"/>
    <col min="15" max="16" width="9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10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.88671875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1" width="9.109375" style="9"/>
    <col min="42" max="42" width="7.88671875" style="9" bestFit="1" customWidth="1"/>
    <col min="43" max="16384" width="9.109375" style="9"/>
  </cols>
  <sheetData>
    <row r="1" spans="1:42" ht="11.25" customHeight="1" x14ac:dyDescent="0.3">
      <c r="A1" s="88" t="s">
        <v>59</v>
      </c>
      <c r="B1" s="88" t="s">
        <v>60</v>
      </c>
      <c r="C1" s="88" t="s">
        <v>61</v>
      </c>
      <c r="D1" s="88" t="s">
        <v>62</v>
      </c>
      <c r="E1" s="88" t="s">
        <v>63</v>
      </c>
      <c r="F1" s="88" t="s">
        <v>15</v>
      </c>
      <c r="G1" s="88" t="s">
        <v>65</v>
      </c>
      <c r="H1" s="88" t="s">
        <v>66</v>
      </c>
      <c r="I1" s="88" t="s">
        <v>524</v>
      </c>
      <c r="J1" s="86"/>
      <c r="L1" s="89" t="s">
        <v>525</v>
      </c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P1" s="89" t="s">
        <v>526</v>
      </c>
    </row>
    <row r="2" spans="1:42" ht="11.25" customHeight="1" x14ac:dyDescent="0.3">
      <c r="A2" s="88"/>
      <c r="B2" s="88"/>
      <c r="C2" s="88"/>
      <c r="D2" s="88"/>
      <c r="E2" s="88"/>
      <c r="F2" s="88"/>
      <c r="G2" s="88"/>
      <c r="H2" s="88"/>
      <c r="I2" s="88"/>
      <c r="J2" s="86"/>
      <c r="L2" s="89" t="s">
        <v>423</v>
      </c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P2" s="90"/>
    </row>
    <row r="3" spans="1:42" ht="11.2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6"/>
      <c r="L3" s="89" t="s">
        <v>424</v>
      </c>
      <c r="M3" s="89"/>
      <c r="N3" s="89"/>
      <c r="O3" s="89"/>
      <c r="P3" s="89"/>
      <c r="Q3" s="89"/>
      <c r="R3" s="89"/>
      <c r="S3" s="89"/>
      <c r="T3" s="89"/>
      <c r="U3" s="89" t="s">
        <v>433</v>
      </c>
      <c r="V3" s="89"/>
      <c r="W3" s="89"/>
      <c r="X3" s="89"/>
      <c r="Y3" s="89"/>
      <c r="Z3" s="89"/>
      <c r="AA3" s="89"/>
      <c r="AB3" s="89"/>
      <c r="AC3" s="89" t="s">
        <v>441</v>
      </c>
      <c r="AD3" s="89"/>
      <c r="AE3" s="89" t="s">
        <v>443</v>
      </c>
      <c r="AF3" s="89"/>
      <c r="AG3" s="89"/>
      <c r="AH3" s="89" t="s">
        <v>446</v>
      </c>
      <c r="AI3" s="89"/>
      <c r="AJ3" s="89"/>
      <c r="AK3" s="89"/>
      <c r="AL3" s="89"/>
      <c r="AM3" s="89" t="s">
        <v>432</v>
      </c>
      <c r="AP3" s="90"/>
    </row>
    <row r="4" spans="1:42" ht="11.25" customHeight="1" x14ac:dyDescent="0.3">
      <c r="A4" s="88"/>
      <c r="B4" s="88"/>
      <c r="C4" s="88"/>
      <c r="D4" s="88"/>
      <c r="E4" s="88"/>
      <c r="F4" s="88"/>
      <c r="G4" s="88"/>
      <c r="H4" s="88"/>
      <c r="I4" s="88"/>
      <c r="J4" s="86"/>
      <c r="L4" s="10" t="s">
        <v>509</v>
      </c>
      <c r="M4" s="10" t="s">
        <v>425</v>
      </c>
      <c r="N4" s="10" t="s">
        <v>426</v>
      </c>
      <c r="O4" s="10" t="s">
        <v>427</v>
      </c>
      <c r="P4" s="10" t="s">
        <v>428</v>
      </c>
      <c r="Q4" s="10" t="s">
        <v>429</v>
      </c>
      <c r="R4" s="10" t="s">
        <v>430</v>
      </c>
      <c r="S4" s="10" t="s">
        <v>431</v>
      </c>
      <c r="T4" s="10" t="s">
        <v>432</v>
      </c>
      <c r="U4" s="10" t="s">
        <v>434</v>
      </c>
      <c r="V4" s="10" t="s">
        <v>435</v>
      </c>
      <c r="W4" s="10" t="s">
        <v>436</v>
      </c>
      <c r="X4" s="10" t="s">
        <v>437</v>
      </c>
      <c r="Y4" s="10" t="s">
        <v>438</v>
      </c>
      <c r="Z4" s="10" t="s">
        <v>439</v>
      </c>
      <c r="AA4" s="10" t="s">
        <v>440</v>
      </c>
      <c r="AB4" s="10" t="s">
        <v>432</v>
      </c>
      <c r="AC4" s="10" t="s">
        <v>442</v>
      </c>
      <c r="AD4" s="10" t="s">
        <v>432</v>
      </c>
      <c r="AE4" s="10" t="s">
        <v>444</v>
      </c>
      <c r="AF4" s="10" t="s">
        <v>445</v>
      </c>
      <c r="AG4" s="10" t="s">
        <v>432</v>
      </c>
      <c r="AH4" s="10" t="s">
        <v>447</v>
      </c>
      <c r="AI4" s="10" t="s">
        <v>448</v>
      </c>
      <c r="AJ4" s="10" t="s">
        <v>449</v>
      </c>
      <c r="AK4" s="10" t="s">
        <v>450</v>
      </c>
      <c r="AL4" s="10" t="s">
        <v>432</v>
      </c>
      <c r="AM4" s="91"/>
      <c r="AP4" s="90"/>
    </row>
    <row r="5" spans="1:42" ht="11.25" customHeight="1" x14ac:dyDescent="0.3">
      <c r="A5" s="92" t="s">
        <v>35</v>
      </c>
      <c r="B5" s="92" t="s">
        <v>50</v>
      </c>
      <c r="C5" s="92" t="s">
        <v>25</v>
      </c>
      <c r="D5" s="92" t="s">
        <v>25</v>
      </c>
      <c r="E5" s="92" t="s">
        <v>25</v>
      </c>
      <c r="F5" s="92" t="s">
        <v>25</v>
      </c>
      <c r="G5" s="18" t="s">
        <v>73</v>
      </c>
      <c r="H5" s="18" t="s">
        <v>72</v>
      </c>
      <c r="I5" s="18">
        <f>'MERCADO TUSD'!$U$2</f>
        <v>201</v>
      </c>
      <c r="J5" s="15"/>
      <c r="L5" s="13"/>
      <c r="M5" s="13"/>
      <c r="N5" s="13"/>
      <c r="O5" s="13"/>
      <c r="P5" s="13"/>
      <c r="Q5" s="13"/>
      <c r="R5" s="13"/>
      <c r="S5" s="13"/>
      <c r="T5" s="13"/>
      <c r="U5" s="13">
        <v>0</v>
      </c>
      <c r="V5" s="13">
        <v>0</v>
      </c>
      <c r="W5" s="13">
        <v>0</v>
      </c>
      <c r="X5" s="13">
        <v>0</v>
      </c>
      <c r="Y5" s="13">
        <v>31.057400000000001</v>
      </c>
      <c r="Z5" s="13">
        <v>0</v>
      </c>
      <c r="AA5" s="13">
        <v>0</v>
      </c>
      <c r="AB5" s="13"/>
      <c r="AC5" s="13">
        <v>103.667</v>
      </c>
      <c r="AD5" s="13"/>
      <c r="AE5" s="13"/>
      <c r="AF5" s="13"/>
      <c r="AG5" s="13"/>
      <c r="AH5" s="13"/>
      <c r="AI5" s="13"/>
      <c r="AJ5" s="13"/>
      <c r="AK5" s="13"/>
      <c r="AL5" s="13"/>
      <c r="AM5" s="13"/>
      <c r="AP5" s="13">
        <v>1</v>
      </c>
    </row>
    <row r="6" spans="1:42" ht="11.25" customHeight="1" x14ac:dyDescent="0.3">
      <c r="A6" s="92"/>
      <c r="B6" s="92"/>
      <c r="C6" s="92"/>
      <c r="D6" s="92"/>
      <c r="E6" s="92"/>
      <c r="F6" s="92"/>
      <c r="G6" s="18" t="s">
        <v>74</v>
      </c>
      <c r="H6" s="18" t="s">
        <v>72</v>
      </c>
      <c r="I6" s="18">
        <f>'MERCADO TUSD'!$U$3</f>
        <v>201</v>
      </c>
      <c r="J6" s="15"/>
      <c r="L6" s="13"/>
      <c r="M6" s="13"/>
      <c r="N6" s="13"/>
      <c r="O6" s="13"/>
      <c r="P6" s="13"/>
      <c r="Q6" s="13"/>
      <c r="R6" s="13"/>
      <c r="S6" s="13"/>
      <c r="T6" s="13"/>
      <c r="U6" s="13">
        <v>0</v>
      </c>
      <c r="V6" s="13">
        <v>0</v>
      </c>
      <c r="W6" s="13">
        <v>0</v>
      </c>
      <c r="X6" s="13">
        <v>0</v>
      </c>
      <c r="Y6" s="13">
        <v>17.913</v>
      </c>
      <c r="Z6" s="13">
        <v>0</v>
      </c>
      <c r="AA6" s="13">
        <v>0</v>
      </c>
      <c r="AB6" s="13"/>
      <c r="AC6" s="13">
        <v>28.3734</v>
      </c>
      <c r="AD6" s="13"/>
      <c r="AE6" s="13"/>
      <c r="AF6" s="13"/>
      <c r="AG6" s="13"/>
      <c r="AH6" s="13"/>
      <c r="AI6" s="13"/>
      <c r="AJ6" s="13"/>
      <c r="AK6" s="13"/>
      <c r="AL6" s="13"/>
      <c r="AM6" s="13"/>
      <c r="AP6" s="13">
        <v>1</v>
      </c>
    </row>
    <row r="7" spans="1:42" ht="11.25" customHeight="1" x14ac:dyDescent="0.3">
      <c r="A7" s="92"/>
      <c r="B7" s="92"/>
      <c r="C7" s="92"/>
      <c r="D7" s="92"/>
      <c r="E7" s="92"/>
      <c r="F7" s="92"/>
      <c r="G7" s="18" t="s">
        <v>75</v>
      </c>
      <c r="H7" s="18" t="s">
        <v>69</v>
      </c>
      <c r="I7" s="18">
        <f>'MERCADO TUSD'!$U$4</f>
        <v>89.552999999999997</v>
      </c>
      <c r="J7" s="15"/>
      <c r="L7" s="13"/>
      <c r="M7" s="13"/>
      <c r="N7" s="13"/>
      <c r="O7" s="13"/>
      <c r="P7" s="13"/>
      <c r="Q7" s="13"/>
      <c r="R7" s="13"/>
      <c r="S7" s="13"/>
      <c r="T7" s="13"/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/>
      <c r="AC7" s="13">
        <v>0</v>
      </c>
      <c r="AD7" s="13"/>
      <c r="AE7" s="13"/>
      <c r="AF7" s="13"/>
      <c r="AG7" s="13"/>
      <c r="AH7" s="13"/>
      <c r="AI7" s="13"/>
      <c r="AJ7" s="13"/>
      <c r="AK7" s="13"/>
      <c r="AL7" s="13"/>
      <c r="AM7" s="13"/>
      <c r="AP7" s="13">
        <v>1</v>
      </c>
    </row>
    <row r="8" spans="1:42" ht="11.25" customHeight="1" x14ac:dyDescent="0.3">
      <c r="A8" s="92"/>
      <c r="B8" s="92"/>
      <c r="C8" s="92"/>
      <c r="D8" s="92"/>
      <c r="E8" s="17" t="s">
        <v>76</v>
      </c>
      <c r="F8" s="17" t="s">
        <v>25</v>
      </c>
      <c r="G8" s="18" t="s">
        <v>75</v>
      </c>
      <c r="H8" s="18" t="s">
        <v>69</v>
      </c>
      <c r="I8" s="18">
        <f>'MERCADO TUSD'!$U$5</f>
        <v>0</v>
      </c>
      <c r="J8" s="15"/>
      <c r="L8" s="13"/>
      <c r="M8" s="13"/>
      <c r="N8" s="13"/>
      <c r="O8" s="13"/>
      <c r="P8" s="13"/>
      <c r="Q8" s="13"/>
      <c r="R8" s="13"/>
      <c r="S8" s="13"/>
      <c r="T8" s="13"/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/>
      <c r="AC8" s="13">
        <v>0</v>
      </c>
      <c r="AD8" s="13"/>
      <c r="AE8" s="13"/>
      <c r="AF8" s="13"/>
      <c r="AG8" s="13"/>
      <c r="AH8" s="13"/>
      <c r="AI8" s="13"/>
      <c r="AJ8" s="13"/>
      <c r="AK8" s="13"/>
      <c r="AL8" s="13"/>
      <c r="AM8" s="13"/>
      <c r="AP8" s="13">
        <v>1</v>
      </c>
    </row>
    <row r="9" spans="1:42" ht="11.25" customHeight="1" x14ac:dyDescent="0.3">
      <c r="A9" s="92"/>
      <c r="B9" s="17" t="s">
        <v>77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72</v>
      </c>
      <c r="I9" s="18">
        <f>'MERCADO TUSD'!$U$6</f>
        <v>0</v>
      </c>
      <c r="J9" s="15"/>
      <c r="L9" s="13"/>
      <c r="M9" s="13"/>
      <c r="N9" s="13"/>
      <c r="O9" s="13"/>
      <c r="P9" s="13"/>
      <c r="Q9" s="13"/>
      <c r="R9" s="13"/>
      <c r="S9" s="13"/>
      <c r="T9" s="13"/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/>
      <c r="AC9" s="13">
        <v>15.835800000000001</v>
      </c>
      <c r="AD9" s="13"/>
      <c r="AE9" s="13"/>
      <c r="AF9" s="13"/>
      <c r="AG9" s="13"/>
      <c r="AH9" s="13"/>
      <c r="AI9" s="13"/>
      <c r="AJ9" s="13"/>
      <c r="AK9" s="13"/>
      <c r="AL9" s="13"/>
      <c r="AM9" s="13"/>
      <c r="AP9" s="13"/>
    </row>
    <row r="10" spans="1:42" ht="11.25" customHeight="1" x14ac:dyDescent="0.3">
      <c r="A10" s="92"/>
      <c r="B10" s="92" t="s">
        <v>36</v>
      </c>
      <c r="C10" s="92" t="s">
        <v>25</v>
      </c>
      <c r="D10" s="92" t="s">
        <v>25</v>
      </c>
      <c r="E10" s="92" t="s">
        <v>25</v>
      </c>
      <c r="F10" s="92" t="s">
        <v>25</v>
      </c>
      <c r="G10" s="18" t="s">
        <v>9</v>
      </c>
      <c r="H10" s="18" t="s">
        <v>72</v>
      </c>
      <c r="I10" s="18">
        <f>'MERCADO TUSD'!$U$7</f>
        <v>129328</v>
      </c>
      <c r="J10" s="15"/>
      <c r="L10" s="13"/>
      <c r="M10" s="13"/>
      <c r="N10" s="13"/>
      <c r="O10" s="13"/>
      <c r="P10" s="13"/>
      <c r="Q10" s="13"/>
      <c r="R10" s="13"/>
      <c r="S10" s="13"/>
      <c r="T10" s="13"/>
      <c r="U10" s="13">
        <v>0</v>
      </c>
      <c r="V10" s="13">
        <v>0</v>
      </c>
      <c r="W10" s="13">
        <v>0</v>
      </c>
      <c r="X10" s="13">
        <v>0</v>
      </c>
      <c r="Y10" s="13">
        <v>17.913</v>
      </c>
      <c r="Z10" s="13">
        <v>0</v>
      </c>
      <c r="AA10" s="13">
        <v>0</v>
      </c>
      <c r="AB10" s="13"/>
      <c r="AC10" s="13">
        <v>28.3734</v>
      </c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P10" s="13">
        <v>1</v>
      </c>
    </row>
    <row r="11" spans="1:42" ht="11.25" customHeight="1" x14ac:dyDescent="0.3">
      <c r="A11" s="92"/>
      <c r="B11" s="92"/>
      <c r="C11" s="92"/>
      <c r="D11" s="92"/>
      <c r="E11" s="92"/>
      <c r="F11" s="92"/>
      <c r="G11" s="18" t="s">
        <v>70</v>
      </c>
      <c r="H11" s="18" t="s">
        <v>69</v>
      </c>
      <c r="I11" s="18">
        <f>'MERCADO TUSD'!$U$8</f>
        <v>1239.3609999999999</v>
      </c>
      <c r="J11" s="15"/>
      <c r="L11" s="13"/>
      <c r="M11" s="13"/>
      <c r="N11" s="13"/>
      <c r="O11" s="13"/>
      <c r="P11" s="13"/>
      <c r="Q11" s="13"/>
      <c r="R11" s="13"/>
      <c r="S11" s="13"/>
      <c r="T11" s="13"/>
      <c r="U11" s="13">
        <v>0</v>
      </c>
      <c r="V11" s="13">
        <v>0</v>
      </c>
      <c r="W11" s="13">
        <v>0</v>
      </c>
      <c r="X11" s="13">
        <v>0</v>
      </c>
      <c r="Y11" s="13">
        <v>747.63900000000001</v>
      </c>
      <c r="Z11" s="13">
        <v>0</v>
      </c>
      <c r="AA11" s="13">
        <v>0</v>
      </c>
      <c r="AB11" s="13"/>
      <c r="AC11" s="13">
        <v>2493.1907999999999</v>
      </c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P11" s="13">
        <v>1</v>
      </c>
    </row>
    <row r="12" spans="1:42" ht="11.25" customHeight="1" x14ac:dyDescent="0.3">
      <c r="A12" s="92"/>
      <c r="B12" s="92"/>
      <c r="C12" s="92"/>
      <c r="D12" s="92"/>
      <c r="E12" s="92"/>
      <c r="F12" s="92"/>
      <c r="G12" s="18" t="s">
        <v>71</v>
      </c>
      <c r="H12" s="18" t="s">
        <v>69</v>
      </c>
      <c r="I12" s="18">
        <f>'MERCADO TUSD'!$U$9</f>
        <v>28573.93</v>
      </c>
      <c r="J12" s="15"/>
      <c r="L12" s="13"/>
      <c r="M12" s="13"/>
      <c r="N12" s="13"/>
      <c r="O12" s="13"/>
      <c r="P12" s="13"/>
      <c r="Q12" s="13"/>
      <c r="R12" s="13"/>
      <c r="S12" s="13"/>
      <c r="T12" s="13"/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/>
      <c r="AC12" s="13">
        <v>0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P12" s="13">
        <v>1</v>
      </c>
    </row>
    <row r="13" spans="1:42" ht="11.25" customHeight="1" x14ac:dyDescent="0.3">
      <c r="A13" s="92"/>
      <c r="B13" s="92"/>
      <c r="C13" s="92"/>
      <c r="D13" s="92"/>
      <c r="E13" s="92" t="s">
        <v>76</v>
      </c>
      <c r="F13" s="92" t="s">
        <v>25</v>
      </c>
      <c r="G13" s="18" t="s">
        <v>70</v>
      </c>
      <c r="H13" s="18" t="s">
        <v>69</v>
      </c>
      <c r="I13" s="18">
        <f>'MERCADO TUSD'!$U$10</f>
        <v>0</v>
      </c>
      <c r="J13" s="15"/>
      <c r="L13" s="13"/>
      <c r="M13" s="13"/>
      <c r="N13" s="13"/>
      <c r="O13" s="13"/>
      <c r="P13" s="13"/>
      <c r="Q13" s="13"/>
      <c r="R13" s="13"/>
      <c r="S13" s="13"/>
      <c r="T13" s="13"/>
      <c r="U13" s="13">
        <v>0</v>
      </c>
      <c r="V13" s="13">
        <v>0</v>
      </c>
      <c r="W13" s="13">
        <v>0</v>
      </c>
      <c r="X13" s="13">
        <v>0</v>
      </c>
      <c r="Y13" s="13">
        <v>747.63900000000001</v>
      </c>
      <c r="Z13" s="13">
        <v>0</v>
      </c>
      <c r="AA13" s="13">
        <v>0</v>
      </c>
      <c r="AB13" s="13"/>
      <c r="AC13" s="13">
        <v>2493.1907999999999</v>
      </c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P13" s="13">
        <v>1</v>
      </c>
    </row>
    <row r="14" spans="1:42" ht="11.25" customHeight="1" x14ac:dyDescent="0.3">
      <c r="A14" s="92"/>
      <c r="B14" s="92"/>
      <c r="C14" s="92"/>
      <c r="D14" s="92"/>
      <c r="E14" s="92"/>
      <c r="F14" s="92"/>
      <c r="G14" s="18" t="s">
        <v>71</v>
      </c>
      <c r="H14" s="18" t="s">
        <v>69</v>
      </c>
      <c r="I14" s="18">
        <f>'MERCADO TUSD'!$U$11</f>
        <v>0</v>
      </c>
      <c r="J14" s="15"/>
      <c r="L14" s="13"/>
      <c r="M14" s="13"/>
      <c r="N14" s="13"/>
      <c r="O14" s="13"/>
      <c r="P14" s="13"/>
      <c r="Q14" s="13"/>
      <c r="R14" s="13"/>
      <c r="S14" s="13"/>
      <c r="T14" s="13"/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/>
      <c r="AC14" s="13">
        <v>0</v>
      </c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P14" s="13">
        <v>1</v>
      </c>
    </row>
    <row r="15" spans="1:42" ht="11.25" customHeight="1" x14ac:dyDescent="0.3">
      <c r="A15" s="92" t="s">
        <v>78</v>
      </c>
      <c r="B15" s="92" t="s">
        <v>77</v>
      </c>
      <c r="C15" s="92" t="s">
        <v>25</v>
      </c>
      <c r="D15" s="92" t="s">
        <v>25</v>
      </c>
      <c r="E15" s="17" t="s">
        <v>79</v>
      </c>
      <c r="F15" s="17" t="s">
        <v>25</v>
      </c>
      <c r="G15" s="18" t="s">
        <v>9</v>
      </c>
      <c r="H15" s="18" t="s">
        <v>72</v>
      </c>
      <c r="I15" s="18">
        <f>'MERCADO TUSD'!$U$12+0.00000001</f>
        <v>1E-8</v>
      </c>
      <c r="J15" s="15"/>
      <c r="L15" s="13"/>
      <c r="M15" s="13"/>
      <c r="N15" s="13"/>
      <c r="O15" s="13"/>
      <c r="P15" s="13"/>
      <c r="Q15" s="13"/>
      <c r="R15" s="13"/>
      <c r="S15" s="13"/>
      <c r="T15" s="13"/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/>
      <c r="AC15" s="13">
        <v>9.0965000000000007</v>
      </c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P15" s="13"/>
    </row>
    <row r="16" spans="1:42" ht="11.25" customHeight="1" x14ac:dyDescent="0.3">
      <c r="A16" s="92"/>
      <c r="B16" s="92"/>
      <c r="C16" s="92"/>
      <c r="D16" s="92"/>
      <c r="E16" s="17" t="s">
        <v>80</v>
      </c>
      <c r="F16" s="17" t="s">
        <v>25</v>
      </c>
      <c r="G16" s="18" t="s">
        <v>9</v>
      </c>
      <c r="H16" s="18" t="s">
        <v>72</v>
      </c>
      <c r="I16" s="18">
        <f>'MERCADO TUSD'!$U$13+0.00000001</f>
        <v>1E-8</v>
      </c>
      <c r="J16" s="15"/>
      <c r="L16" s="13"/>
      <c r="M16" s="13"/>
      <c r="N16" s="13"/>
      <c r="O16" s="13"/>
      <c r="P16" s="13"/>
      <c r="Q16" s="13"/>
      <c r="R16" s="13"/>
      <c r="S16" s="13"/>
      <c r="T16" s="13"/>
      <c r="U16" s="13">
        <v>0</v>
      </c>
      <c r="V16" s="13">
        <v>0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/>
      <c r="AC16" s="13">
        <v>27.075800000000001</v>
      </c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P16" s="13"/>
    </row>
    <row r="17" spans="1:42" ht="11.25" customHeight="1" x14ac:dyDescent="0.3">
      <c r="A17" s="92" t="s">
        <v>22</v>
      </c>
      <c r="B17" s="92" t="s">
        <v>39</v>
      </c>
      <c r="C17" s="92" t="s">
        <v>24</v>
      </c>
      <c r="D17" s="92" t="s">
        <v>24</v>
      </c>
      <c r="E17" s="92" t="s">
        <v>25</v>
      </c>
      <c r="F17" s="92" t="s">
        <v>25</v>
      </c>
      <c r="G17" s="18" t="s">
        <v>70</v>
      </c>
      <c r="H17" s="18" t="s">
        <v>69</v>
      </c>
      <c r="I17" s="18">
        <f>'MERCADO TUSD'!$U$14</f>
        <v>0</v>
      </c>
      <c r="J17" s="15"/>
      <c r="L17" s="13"/>
      <c r="M17" s="13"/>
      <c r="N17" s="13"/>
      <c r="O17" s="13"/>
      <c r="P17" s="13"/>
      <c r="Q17" s="13"/>
      <c r="R17" s="13"/>
      <c r="S17" s="13"/>
      <c r="T17" s="13"/>
      <c r="U17" s="13">
        <v>0</v>
      </c>
      <c r="V17" s="13">
        <v>0</v>
      </c>
      <c r="W17" s="13">
        <v>0</v>
      </c>
      <c r="X17" s="13">
        <v>0</v>
      </c>
      <c r="Y17" s="13">
        <v>290.27640000000002</v>
      </c>
      <c r="Z17" s="13">
        <v>0</v>
      </c>
      <c r="AA17" s="13">
        <v>0</v>
      </c>
      <c r="AB17" s="13"/>
      <c r="AC17" s="13">
        <v>1375.2796000000001</v>
      </c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P17" s="13">
        <v>1</v>
      </c>
    </row>
    <row r="18" spans="1:42" ht="11.25" customHeight="1" x14ac:dyDescent="0.3">
      <c r="A18" s="92"/>
      <c r="B18" s="92"/>
      <c r="C18" s="92"/>
      <c r="D18" s="92"/>
      <c r="E18" s="92"/>
      <c r="F18" s="92"/>
      <c r="G18" s="18" t="s">
        <v>81</v>
      </c>
      <c r="H18" s="18" t="s">
        <v>69</v>
      </c>
      <c r="I18" s="18">
        <f>'MERCADO TUSD'!$U$15</f>
        <v>0</v>
      </c>
      <c r="J18" s="15"/>
      <c r="L18" s="13"/>
      <c r="M18" s="13"/>
      <c r="N18" s="13"/>
      <c r="O18" s="13"/>
      <c r="P18" s="13"/>
      <c r="Q18" s="13"/>
      <c r="R18" s="13"/>
      <c r="S18" s="13"/>
      <c r="T18" s="13"/>
      <c r="U18" s="13">
        <v>0</v>
      </c>
      <c r="V18" s="13">
        <v>0</v>
      </c>
      <c r="W18" s="13">
        <v>0</v>
      </c>
      <c r="X18" s="13">
        <v>0</v>
      </c>
      <c r="Y18" s="13">
        <v>174.1781</v>
      </c>
      <c r="Z18" s="13">
        <v>0</v>
      </c>
      <c r="AA18" s="13">
        <v>0</v>
      </c>
      <c r="AB18" s="13"/>
      <c r="AC18" s="13">
        <v>825.16809999999998</v>
      </c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P18" s="13">
        <v>1</v>
      </c>
    </row>
    <row r="19" spans="1:42" ht="11.25" customHeight="1" x14ac:dyDescent="0.3">
      <c r="A19" s="92"/>
      <c r="B19" s="92"/>
      <c r="C19" s="92"/>
      <c r="D19" s="92"/>
      <c r="E19" s="92"/>
      <c r="F19" s="92"/>
      <c r="G19" s="18" t="s">
        <v>71</v>
      </c>
      <c r="H19" s="18" t="s">
        <v>69</v>
      </c>
      <c r="I19" s="18">
        <f>'MERCADO TUSD'!$U$16</f>
        <v>0</v>
      </c>
      <c r="J19" s="15"/>
      <c r="L19" s="13"/>
      <c r="M19" s="13"/>
      <c r="N19" s="13"/>
      <c r="O19" s="13"/>
      <c r="P19" s="13"/>
      <c r="Q19" s="13"/>
      <c r="R19" s="13"/>
      <c r="S19" s="13"/>
      <c r="T19" s="13"/>
      <c r="U19" s="13">
        <v>0</v>
      </c>
      <c r="V19" s="13">
        <v>0</v>
      </c>
      <c r="W19" s="13">
        <v>0</v>
      </c>
      <c r="X19" s="13">
        <v>0</v>
      </c>
      <c r="Y19" s="13">
        <v>58.079700000000003</v>
      </c>
      <c r="Z19" s="13">
        <v>0</v>
      </c>
      <c r="AA19" s="13">
        <v>0</v>
      </c>
      <c r="AB19" s="13"/>
      <c r="AC19" s="13">
        <v>275.05599999999998</v>
      </c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P19" s="13">
        <v>1</v>
      </c>
    </row>
    <row r="20" spans="1:42" ht="11.25" customHeight="1" x14ac:dyDescent="0.3">
      <c r="A20" s="92"/>
      <c r="B20" s="92" t="s">
        <v>23</v>
      </c>
      <c r="C20" s="92" t="s">
        <v>24</v>
      </c>
      <c r="D20" s="17" t="s">
        <v>24</v>
      </c>
      <c r="E20" s="17" t="s">
        <v>25</v>
      </c>
      <c r="F20" s="17" t="s">
        <v>25</v>
      </c>
      <c r="G20" s="18" t="s">
        <v>75</v>
      </c>
      <c r="H20" s="18" t="s">
        <v>69</v>
      </c>
      <c r="I20" s="18">
        <f>'MERCADO TUSD'!$U$17</f>
        <v>6626.2160000000003</v>
      </c>
      <c r="J20" s="15"/>
      <c r="L20" s="13"/>
      <c r="M20" s="13"/>
      <c r="N20" s="13"/>
      <c r="O20" s="13"/>
      <c r="P20" s="13"/>
      <c r="Q20" s="13"/>
      <c r="R20" s="13"/>
      <c r="S20" s="13"/>
      <c r="T20" s="13"/>
      <c r="U20" s="13">
        <v>0</v>
      </c>
      <c r="V20" s="13">
        <v>0</v>
      </c>
      <c r="W20" s="13">
        <v>0</v>
      </c>
      <c r="X20" s="13">
        <v>0</v>
      </c>
      <c r="Y20" s="13">
        <v>107.53919999999999</v>
      </c>
      <c r="Z20" s="13">
        <v>0</v>
      </c>
      <c r="AA20" s="13">
        <v>0</v>
      </c>
      <c r="AB20" s="13"/>
      <c r="AC20" s="13">
        <v>509.36290000000002</v>
      </c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P20" s="13">
        <v>1</v>
      </c>
    </row>
    <row r="21" spans="1:42" ht="11.25" customHeight="1" x14ac:dyDescent="0.3">
      <c r="A21" s="92"/>
      <c r="B21" s="92"/>
      <c r="C21" s="92"/>
      <c r="D21" s="17" t="s">
        <v>29</v>
      </c>
      <c r="E21" s="17" t="s">
        <v>25</v>
      </c>
      <c r="F21" s="17" t="s">
        <v>25</v>
      </c>
      <c r="G21" s="18" t="s">
        <v>75</v>
      </c>
      <c r="H21" s="18" t="s">
        <v>69</v>
      </c>
      <c r="I21" s="18">
        <f>'MERCADO TUSD'!$U$18</f>
        <v>56.819999999999993</v>
      </c>
      <c r="J21" s="15"/>
      <c r="L21" s="13"/>
      <c r="M21" s="13"/>
      <c r="N21" s="13"/>
      <c r="O21" s="13"/>
      <c r="P21" s="13"/>
      <c r="Q21" s="13"/>
      <c r="R21" s="13"/>
      <c r="S21" s="13"/>
      <c r="T21" s="13"/>
      <c r="U21" s="13">
        <v>0</v>
      </c>
      <c r="V21" s="13">
        <v>0</v>
      </c>
      <c r="W21" s="13">
        <v>0</v>
      </c>
      <c r="X21" s="13">
        <v>0</v>
      </c>
      <c r="Y21" s="13">
        <f>(1 - CUSTOS!$M$24)*107.5392</f>
        <v>107.53919999999999</v>
      </c>
      <c r="Z21" s="13">
        <v>0</v>
      </c>
      <c r="AA21" s="13">
        <v>0</v>
      </c>
      <c r="AB21" s="13"/>
      <c r="AC21" s="13">
        <f>(1 - CUSTOS!$M$24)*509.3629</f>
        <v>509.36290000000002</v>
      </c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P21" s="13">
        <f>IF((1 - CUSTOS!$M$24)&lt;&gt;0,1/(1 - CUSTOS!$M$24),1)</f>
        <v>1</v>
      </c>
    </row>
    <row r="22" spans="1:42" ht="11.25" customHeight="1" x14ac:dyDescent="0.3">
      <c r="A22" s="92"/>
      <c r="B22" s="92"/>
      <c r="C22" s="92"/>
      <c r="D22" s="17" t="s">
        <v>30</v>
      </c>
      <c r="E22" s="17" t="s">
        <v>25</v>
      </c>
      <c r="F22" s="17" t="s">
        <v>25</v>
      </c>
      <c r="G22" s="18" t="s">
        <v>75</v>
      </c>
      <c r="H22" s="18" t="s">
        <v>69</v>
      </c>
      <c r="I22" s="18">
        <f>'MERCADO TUSD'!$U$19</f>
        <v>114.55999999999999</v>
      </c>
      <c r="J22" s="15"/>
      <c r="L22" s="13"/>
      <c r="M22" s="13"/>
      <c r="N22" s="13"/>
      <c r="O22" s="13"/>
      <c r="P22" s="13"/>
      <c r="Q22" s="13"/>
      <c r="R22" s="13"/>
      <c r="S22" s="13"/>
      <c r="T22" s="13"/>
      <c r="U22" s="13">
        <v>0</v>
      </c>
      <c r="V22" s="13">
        <v>0</v>
      </c>
      <c r="W22" s="13">
        <v>0</v>
      </c>
      <c r="X22" s="13">
        <v>0</v>
      </c>
      <c r="Y22" s="13">
        <f>(1 - CUSTOS!$M$25)*107.5392</f>
        <v>107.53919999999999</v>
      </c>
      <c r="Z22" s="13">
        <v>0</v>
      </c>
      <c r="AA22" s="13">
        <v>0</v>
      </c>
      <c r="AB22" s="13"/>
      <c r="AC22" s="13">
        <f>(1 - CUSTOS!$M$25)*509.3629</f>
        <v>509.36290000000002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P22" s="13">
        <f>IF((1 - CUSTOS!$M$25)&lt;&gt;0,1/(1 - CUSTOS!$M$25),1)</f>
        <v>1</v>
      </c>
    </row>
    <row r="23" spans="1:42" ht="11.25" customHeight="1" x14ac:dyDescent="0.3">
      <c r="A23" s="92"/>
      <c r="B23" s="92"/>
      <c r="C23" s="92"/>
      <c r="D23" s="17" t="s">
        <v>31</v>
      </c>
      <c r="E23" s="17" t="s">
        <v>25</v>
      </c>
      <c r="F23" s="17" t="s">
        <v>25</v>
      </c>
      <c r="G23" s="18" t="s">
        <v>75</v>
      </c>
      <c r="H23" s="18" t="s">
        <v>69</v>
      </c>
      <c r="I23" s="18">
        <f>'MERCADO TUSD'!$U$20</f>
        <v>116.22800000000001</v>
      </c>
      <c r="J23" s="15"/>
      <c r="L23" s="13"/>
      <c r="M23" s="13"/>
      <c r="N23" s="13"/>
      <c r="O23" s="13"/>
      <c r="P23" s="13"/>
      <c r="Q23" s="13"/>
      <c r="R23" s="13"/>
      <c r="S23" s="13"/>
      <c r="T23" s="13"/>
      <c r="U23" s="13">
        <v>0</v>
      </c>
      <c r="V23" s="13">
        <v>0</v>
      </c>
      <c r="W23" s="13">
        <v>0</v>
      </c>
      <c r="X23" s="13">
        <v>0</v>
      </c>
      <c r="Y23" s="13">
        <f>(1 - CUSTOS!$M$26)*107.5392</f>
        <v>107.53919999999999</v>
      </c>
      <c r="Z23" s="13">
        <v>0</v>
      </c>
      <c r="AA23" s="13">
        <v>0</v>
      </c>
      <c r="AB23" s="13"/>
      <c r="AC23" s="13">
        <f>(1 - CUSTOS!$M$26)*509.3629</f>
        <v>509.36290000000002</v>
      </c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P23" s="13">
        <f>IF((1 - CUSTOS!$M$26)&lt;&gt;0,1/(1 - CUSTOS!$M$26),1)</f>
        <v>1</v>
      </c>
    </row>
    <row r="24" spans="1:42" ht="11.25" customHeight="1" x14ac:dyDescent="0.3">
      <c r="A24" s="92"/>
      <c r="B24" s="92"/>
      <c r="C24" s="92"/>
      <c r="D24" s="17" t="s">
        <v>32</v>
      </c>
      <c r="E24" s="17" t="s">
        <v>25</v>
      </c>
      <c r="F24" s="17" t="s">
        <v>25</v>
      </c>
      <c r="G24" s="18" t="s">
        <v>75</v>
      </c>
      <c r="H24" s="18" t="s">
        <v>69</v>
      </c>
      <c r="I24" s="18">
        <f>'MERCADO TUSD'!$U$21</f>
        <v>45.311999999999998</v>
      </c>
      <c r="J24" s="15"/>
      <c r="L24" s="13"/>
      <c r="M24" s="13"/>
      <c r="N24" s="13"/>
      <c r="O24" s="13"/>
      <c r="P24" s="13"/>
      <c r="Q24" s="13"/>
      <c r="R24" s="13"/>
      <c r="S24" s="13"/>
      <c r="T24" s="13"/>
      <c r="U24" s="13">
        <v>0</v>
      </c>
      <c r="V24" s="13">
        <v>0</v>
      </c>
      <c r="W24" s="13">
        <v>0</v>
      </c>
      <c r="X24" s="13">
        <v>0</v>
      </c>
      <c r="Y24" s="13">
        <f>(1 - CUSTOS!$M$27)*107.5392</f>
        <v>107.53919999999999</v>
      </c>
      <c r="Z24" s="13">
        <v>0</v>
      </c>
      <c r="AA24" s="13">
        <v>0</v>
      </c>
      <c r="AB24" s="13"/>
      <c r="AC24" s="13">
        <f>(1 - CUSTOS!$M$27)*509.3629</f>
        <v>509.36290000000002</v>
      </c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P24" s="13">
        <f>IF((1 - CUSTOS!$M$27)&lt;&gt;0,1/(1 - CUSTOS!$M$27),1)</f>
        <v>1</v>
      </c>
    </row>
    <row r="25" spans="1:42" ht="11.25" customHeight="1" x14ac:dyDescent="0.3">
      <c r="A25" s="92"/>
      <c r="B25" s="92" t="s">
        <v>84</v>
      </c>
      <c r="C25" s="92" t="s">
        <v>24</v>
      </c>
      <c r="D25" s="17" t="s">
        <v>24</v>
      </c>
      <c r="E25" s="17" t="s">
        <v>25</v>
      </c>
      <c r="F25" s="17" t="s">
        <v>25</v>
      </c>
      <c r="G25" s="18" t="s">
        <v>75</v>
      </c>
      <c r="H25" s="18" t="s">
        <v>69</v>
      </c>
      <c r="I25" s="18">
        <f>'MERCADO TUSD'!$U$22</f>
        <v>0</v>
      </c>
      <c r="J25" s="15"/>
      <c r="L25" s="13"/>
      <c r="M25" s="13"/>
      <c r="N25" s="13"/>
      <c r="O25" s="13"/>
      <c r="P25" s="13"/>
      <c r="Q25" s="13"/>
      <c r="R25" s="13"/>
      <c r="S25" s="13"/>
      <c r="T25" s="13"/>
      <c r="U25" s="13">
        <v>0</v>
      </c>
      <c r="V25" s="13">
        <v>0</v>
      </c>
      <c r="W25" s="13">
        <v>0</v>
      </c>
      <c r="X25" s="13">
        <v>0</v>
      </c>
      <c r="Y25" s="13">
        <v>107.53919999999999</v>
      </c>
      <c r="Z25" s="13">
        <v>0</v>
      </c>
      <c r="AA25" s="13">
        <v>0</v>
      </c>
      <c r="AB25" s="13"/>
      <c r="AC25" s="13">
        <v>509.36290000000002</v>
      </c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P25" s="13">
        <v>1</v>
      </c>
    </row>
    <row r="26" spans="1:42" ht="11.25" customHeight="1" x14ac:dyDescent="0.3">
      <c r="A26" s="92"/>
      <c r="B26" s="92"/>
      <c r="C26" s="92"/>
      <c r="D26" s="17" t="s">
        <v>29</v>
      </c>
      <c r="E26" s="17" t="s">
        <v>25</v>
      </c>
      <c r="F26" s="17" t="s">
        <v>25</v>
      </c>
      <c r="G26" s="18" t="s">
        <v>75</v>
      </c>
      <c r="H26" s="18" t="s">
        <v>69</v>
      </c>
      <c r="I26" s="18">
        <f>'MERCADO TUSD'!$U$23</f>
        <v>0</v>
      </c>
      <c r="J26" s="15"/>
      <c r="L26" s="13"/>
      <c r="M26" s="13"/>
      <c r="N26" s="13"/>
      <c r="O26" s="13"/>
      <c r="P26" s="13"/>
      <c r="Q26" s="13"/>
      <c r="R26" s="13"/>
      <c r="S26" s="13"/>
      <c r="T26" s="13"/>
      <c r="U26" s="13">
        <v>0</v>
      </c>
      <c r="V26" s="13">
        <v>0</v>
      </c>
      <c r="W26" s="13">
        <v>0</v>
      </c>
      <c r="X26" s="13">
        <v>0</v>
      </c>
      <c r="Y26" s="13">
        <f>(1 - CUSTOS!$M$24)*107.5392</f>
        <v>107.53919999999999</v>
      </c>
      <c r="Z26" s="13">
        <v>0</v>
      </c>
      <c r="AA26" s="13">
        <v>0</v>
      </c>
      <c r="AB26" s="13"/>
      <c r="AC26" s="13">
        <f>(1 - CUSTOS!$M$24)*509.3629</f>
        <v>509.36290000000002</v>
      </c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P26" s="13">
        <f>IF((1 - CUSTOS!$M$24)&lt;&gt;0,1/(1 - CUSTOS!$M$24),1)</f>
        <v>1</v>
      </c>
    </row>
    <row r="27" spans="1:42" ht="11.25" customHeight="1" x14ac:dyDescent="0.3">
      <c r="A27" s="92"/>
      <c r="B27" s="92"/>
      <c r="C27" s="92"/>
      <c r="D27" s="17" t="s">
        <v>30</v>
      </c>
      <c r="E27" s="17" t="s">
        <v>25</v>
      </c>
      <c r="F27" s="17" t="s">
        <v>25</v>
      </c>
      <c r="G27" s="18" t="s">
        <v>75</v>
      </c>
      <c r="H27" s="18" t="s">
        <v>69</v>
      </c>
      <c r="I27" s="18">
        <f>'MERCADO TUSD'!$U$24</f>
        <v>0</v>
      </c>
      <c r="J27" s="15"/>
      <c r="L27" s="13"/>
      <c r="M27" s="13"/>
      <c r="N27" s="13"/>
      <c r="O27" s="13"/>
      <c r="P27" s="13"/>
      <c r="Q27" s="13"/>
      <c r="R27" s="13"/>
      <c r="S27" s="13"/>
      <c r="T27" s="13"/>
      <c r="U27" s="13">
        <v>0</v>
      </c>
      <c r="V27" s="13">
        <v>0</v>
      </c>
      <c r="W27" s="13">
        <v>0</v>
      </c>
      <c r="X27" s="13">
        <v>0</v>
      </c>
      <c r="Y27" s="13">
        <f>(1 - CUSTOS!$M$25)*107.5392</f>
        <v>107.53919999999999</v>
      </c>
      <c r="Z27" s="13">
        <v>0</v>
      </c>
      <c r="AA27" s="13">
        <v>0</v>
      </c>
      <c r="AB27" s="13"/>
      <c r="AC27" s="13">
        <f>(1 - CUSTOS!$M$25)*509.3629</f>
        <v>509.36290000000002</v>
      </c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P27" s="13">
        <f>IF((1 - CUSTOS!$M$25)&lt;&gt;0,1/(1 - CUSTOS!$M$25),1)</f>
        <v>1</v>
      </c>
    </row>
    <row r="28" spans="1:42" ht="11.25" customHeight="1" x14ac:dyDescent="0.3">
      <c r="A28" s="92"/>
      <c r="B28" s="92"/>
      <c r="C28" s="92"/>
      <c r="D28" s="17" t="s">
        <v>31</v>
      </c>
      <c r="E28" s="17" t="s">
        <v>25</v>
      </c>
      <c r="F28" s="17" t="s">
        <v>25</v>
      </c>
      <c r="G28" s="18" t="s">
        <v>75</v>
      </c>
      <c r="H28" s="18" t="s">
        <v>69</v>
      </c>
      <c r="I28" s="18">
        <f>'MERCADO TUSD'!$U$25</f>
        <v>0</v>
      </c>
      <c r="J28" s="15"/>
      <c r="L28" s="13"/>
      <c r="M28" s="13"/>
      <c r="N28" s="13"/>
      <c r="O28" s="13"/>
      <c r="P28" s="13"/>
      <c r="Q28" s="13"/>
      <c r="R28" s="13"/>
      <c r="S28" s="13"/>
      <c r="T28" s="13"/>
      <c r="U28" s="13">
        <v>0</v>
      </c>
      <c r="V28" s="13">
        <v>0</v>
      </c>
      <c r="W28" s="13">
        <v>0</v>
      </c>
      <c r="X28" s="13">
        <v>0</v>
      </c>
      <c r="Y28" s="13">
        <f>(1 - CUSTOS!$M$26)*107.5392</f>
        <v>107.53919999999999</v>
      </c>
      <c r="Z28" s="13">
        <v>0</v>
      </c>
      <c r="AA28" s="13">
        <v>0</v>
      </c>
      <c r="AB28" s="13"/>
      <c r="AC28" s="13">
        <f>(1 - CUSTOS!$M$26)*509.3629</f>
        <v>509.36290000000002</v>
      </c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P28" s="13">
        <f>IF((1 - CUSTOS!$M$26)&lt;&gt;0,1/(1 - CUSTOS!$M$26),1)</f>
        <v>1</v>
      </c>
    </row>
    <row r="29" spans="1:42" ht="11.25" customHeight="1" x14ac:dyDescent="0.3">
      <c r="A29" s="92"/>
      <c r="B29" s="92"/>
      <c r="C29" s="92"/>
      <c r="D29" s="17" t="s">
        <v>32</v>
      </c>
      <c r="E29" s="17" t="s">
        <v>25</v>
      </c>
      <c r="F29" s="17" t="s">
        <v>25</v>
      </c>
      <c r="G29" s="18" t="s">
        <v>75</v>
      </c>
      <c r="H29" s="18" t="s">
        <v>69</v>
      </c>
      <c r="I29" s="18">
        <f>'MERCADO TUSD'!$U$26</f>
        <v>0</v>
      </c>
      <c r="J29" s="15"/>
      <c r="L29" s="13"/>
      <c r="M29" s="13"/>
      <c r="N29" s="13"/>
      <c r="O29" s="13"/>
      <c r="P29" s="13"/>
      <c r="Q29" s="13"/>
      <c r="R29" s="13"/>
      <c r="S29" s="13"/>
      <c r="T29" s="13"/>
      <c r="U29" s="13">
        <v>0</v>
      </c>
      <c r="V29" s="13">
        <v>0</v>
      </c>
      <c r="W29" s="13">
        <v>0</v>
      </c>
      <c r="X29" s="13">
        <v>0</v>
      </c>
      <c r="Y29" s="13">
        <f>(1 - CUSTOS!$M$27)*107.5392</f>
        <v>107.53919999999999</v>
      </c>
      <c r="Z29" s="13">
        <v>0</v>
      </c>
      <c r="AA29" s="13">
        <v>0</v>
      </c>
      <c r="AB29" s="13"/>
      <c r="AC29" s="13">
        <f>(1 - CUSTOS!$M$27)*509.3629</f>
        <v>509.36290000000002</v>
      </c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P29" s="13">
        <f>IF((1 - CUSTOS!$M$27)&lt;&gt;0,1/(1 - CUSTOS!$M$27),1)</f>
        <v>1</v>
      </c>
    </row>
    <row r="30" spans="1:42" ht="11.25" customHeight="1" x14ac:dyDescent="0.3">
      <c r="A30" s="92" t="s">
        <v>42</v>
      </c>
      <c r="B30" s="92" t="s">
        <v>39</v>
      </c>
      <c r="C30" s="92" t="s">
        <v>43</v>
      </c>
      <c r="D30" s="92" t="s">
        <v>25</v>
      </c>
      <c r="E30" s="92" t="s">
        <v>25</v>
      </c>
      <c r="F30" s="92" t="s">
        <v>25</v>
      </c>
      <c r="G30" s="18" t="s">
        <v>70</v>
      </c>
      <c r="H30" s="18" t="s">
        <v>69</v>
      </c>
      <c r="I30" s="18">
        <f>'MERCADO TUSD'!$U$27</f>
        <v>0</v>
      </c>
      <c r="J30" s="15"/>
      <c r="L30" s="13"/>
      <c r="M30" s="13"/>
      <c r="N30" s="13"/>
      <c r="O30" s="13"/>
      <c r="P30" s="13"/>
      <c r="Q30" s="13"/>
      <c r="R30" s="13"/>
      <c r="S30" s="13"/>
      <c r="T30" s="13"/>
      <c r="U30" s="13">
        <v>0</v>
      </c>
      <c r="V30" s="13">
        <v>0</v>
      </c>
      <c r="W30" s="13">
        <v>0</v>
      </c>
      <c r="X30" s="13">
        <v>0</v>
      </c>
      <c r="Y30" s="13">
        <f>(1 - CUSTOS!$M$28)*317.1765</f>
        <v>317.17649999999998</v>
      </c>
      <c r="Z30" s="13">
        <v>0</v>
      </c>
      <c r="AA30" s="13">
        <v>0</v>
      </c>
      <c r="AB30" s="13"/>
      <c r="AC30" s="13">
        <f>(1 - CUSTOS!$M$28)*1502.6205</f>
        <v>1502.6205</v>
      </c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P30" s="13">
        <f>IF((1 - CUSTOS!$M$28)&lt;&gt;0,1/(1 - CUSTOS!$M$28),1)</f>
        <v>1</v>
      </c>
    </row>
    <row r="31" spans="1:42" ht="11.25" customHeight="1" x14ac:dyDescent="0.3">
      <c r="A31" s="92"/>
      <c r="B31" s="92"/>
      <c r="C31" s="92"/>
      <c r="D31" s="92"/>
      <c r="E31" s="92"/>
      <c r="F31" s="92"/>
      <c r="G31" s="18" t="s">
        <v>81</v>
      </c>
      <c r="H31" s="18" t="s">
        <v>69</v>
      </c>
      <c r="I31" s="18">
        <f>'MERCADO TUSD'!$U$28</f>
        <v>0</v>
      </c>
      <c r="J31" s="15"/>
      <c r="L31" s="13"/>
      <c r="M31" s="13"/>
      <c r="N31" s="13"/>
      <c r="O31" s="13"/>
      <c r="P31" s="13"/>
      <c r="Q31" s="13"/>
      <c r="R31" s="13"/>
      <c r="S31" s="13"/>
      <c r="T31" s="13"/>
      <c r="U31" s="13">
        <v>0</v>
      </c>
      <c r="V31" s="13">
        <v>0</v>
      </c>
      <c r="W31" s="13">
        <v>0</v>
      </c>
      <c r="X31" s="13">
        <v>0</v>
      </c>
      <c r="Y31" s="13">
        <f>(1 - CUSTOS!$M$28)*190.257</f>
        <v>190.25700000000001</v>
      </c>
      <c r="Z31" s="13">
        <v>0</v>
      </c>
      <c r="AA31" s="13">
        <v>0</v>
      </c>
      <c r="AB31" s="13"/>
      <c r="AC31" s="13">
        <f>(1 - CUSTOS!$M$28)*901.5727</f>
        <v>901.57270000000005</v>
      </c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P31" s="13">
        <f>IF((1 - CUSTOS!$M$28)&lt;&gt;0,1/(1 - CUSTOS!$M$28),1)</f>
        <v>1</v>
      </c>
    </row>
    <row r="32" spans="1:42" ht="11.25" customHeight="1" x14ac:dyDescent="0.3">
      <c r="A32" s="92"/>
      <c r="B32" s="92"/>
      <c r="C32" s="92"/>
      <c r="D32" s="92"/>
      <c r="E32" s="92"/>
      <c r="F32" s="92"/>
      <c r="G32" s="18" t="s">
        <v>71</v>
      </c>
      <c r="H32" s="18" t="s">
        <v>69</v>
      </c>
      <c r="I32" s="18">
        <f>'MERCADO TUSD'!$U$29</f>
        <v>0</v>
      </c>
      <c r="J32" s="15"/>
      <c r="L32" s="13"/>
      <c r="M32" s="13"/>
      <c r="N32" s="13"/>
      <c r="O32" s="13"/>
      <c r="P32" s="13"/>
      <c r="Q32" s="13"/>
      <c r="R32" s="13"/>
      <c r="S32" s="13"/>
      <c r="T32" s="13"/>
      <c r="U32" s="13">
        <v>0</v>
      </c>
      <c r="V32" s="13">
        <v>0</v>
      </c>
      <c r="W32" s="13">
        <v>0</v>
      </c>
      <c r="X32" s="13">
        <v>0</v>
      </c>
      <c r="Y32" s="13">
        <f>(1 - CUSTOS!$M$28)*63.4598</f>
        <v>63.459800000000001</v>
      </c>
      <c r="Z32" s="13">
        <v>0</v>
      </c>
      <c r="AA32" s="13">
        <v>0</v>
      </c>
      <c r="AB32" s="13"/>
      <c r="AC32" s="13">
        <f>(1 - CUSTOS!$M$28)*300.5239</f>
        <v>300.52390000000003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P32" s="13">
        <f>IF((1 - CUSTOS!$M$28)&lt;&gt;0,1/(1 - CUSTOS!$M$28),1)</f>
        <v>1</v>
      </c>
    </row>
    <row r="33" spans="1:42" ht="11.25" customHeight="1" x14ac:dyDescent="0.3">
      <c r="A33" s="92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75</v>
      </c>
      <c r="H33" s="18" t="s">
        <v>69</v>
      </c>
      <c r="I33" s="18">
        <f>'MERCADO TUSD'!$U$30</f>
        <v>3371.0129999999999</v>
      </c>
      <c r="J33" s="15"/>
      <c r="L33" s="13"/>
      <c r="M33" s="13"/>
      <c r="N33" s="13"/>
      <c r="O33" s="13"/>
      <c r="P33" s="13"/>
      <c r="Q33" s="13"/>
      <c r="R33" s="13"/>
      <c r="S33" s="13"/>
      <c r="T33" s="13"/>
      <c r="U33" s="13">
        <v>0</v>
      </c>
      <c r="V33" s="13">
        <v>0</v>
      </c>
      <c r="W33" s="13">
        <v>0</v>
      </c>
      <c r="X33" s="13">
        <v>0</v>
      </c>
      <c r="Y33" s="13">
        <f>(1 - CUSTOS!$M$28)*107.5392</f>
        <v>107.53919999999999</v>
      </c>
      <c r="Z33" s="13">
        <v>0</v>
      </c>
      <c r="AA33" s="13">
        <v>0</v>
      </c>
      <c r="AB33" s="13"/>
      <c r="AC33" s="13">
        <f>(1 - CUSTOS!$M$28)*509.3629</f>
        <v>509.36290000000002</v>
      </c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P33" s="13">
        <f>IF((1 - CUSTOS!$M$28)&lt;&gt;0,1/(1 - CUSTOS!$M$28),1)</f>
        <v>1</v>
      </c>
    </row>
    <row r="34" spans="1:42" ht="11.25" customHeight="1" x14ac:dyDescent="0.3">
      <c r="A34" s="92"/>
      <c r="B34" s="92" t="s">
        <v>39</v>
      </c>
      <c r="C34" s="92" t="s">
        <v>43</v>
      </c>
      <c r="D34" s="92" t="s">
        <v>85</v>
      </c>
      <c r="E34" s="92" t="s">
        <v>25</v>
      </c>
      <c r="F34" s="92" t="s">
        <v>25</v>
      </c>
      <c r="G34" s="18" t="s">
        <v>70</v>
      </c>
      <c r="H34" s="18" t="s">
        <v>69</v>
      </c>
      <c r="I34" s="18">
        <f>'MERCADO TUSD'!$U$31</f>
        <v>0</v>
      </c>
      <c r="J34" s="15"/>
      <c r="L34" s="13"/>
      <c r="M34" s="13"/>
      <c r="N34" s="13"/>
      <c r="O34" s="13"/>
      <c r="P34" s="13"/>
      <c r="Q34" s="13"/>
      <c r="R34" s="13"/>
      <c r="S34" s="13"/>
      <c r="T34" s="13"/>
      <c r="U34" s="13">
        <v>0</v>
      </c>
      <c r="V34" s="13">
        <v>0</v>
      </c>
      <c r="W34" s="13">
        <v>0</v>
      </c>
      <c r="X34" s="13">
        <v>0</v>
      </c>
      <c r="Y34" s="13">
        <f>(1 - CUSTOS!$M$29)*317.1765</f>
        <v>317.17649999999998</v>
      </c>
      <c r="Z34" s="13">
        <v>0</v>
      </c>
      <c r="AA34" s="13">
        <v>0</v>
      </c>
      <c r="AB34" s="13"/>
      <c r="AC34" s="13">
        <f>(1 - CUSTOS!$M$29)*1502.6205</f>
        <v>1502.6205</v>
      </c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P34" s="13">
        <f>IF((1 - CUSTOS!$M$29)&lt;&gt;0,1/(1 - CUSTOS!$M$29),1)</f>
        <v>1</v>
      </c>
    </row>
    <row r="35" spans="1:42" ht="11.25" customHeight="1" x14ac:dyDescent="0.3">
      <c r="A35" s="92"/>
      <c r="B35" s="92"/>
      <c r="C35" s="92"/>
      <c r="D35" s="92"/>
      <c r="E35" s="92"/>
      <c r="F35" s="92"/>
      <c r="G35" s="18" t="s">
        <v>81</v>
      </c>
      <c r="H35" s="18" t="s">
        <v>69</v>
      </c>
      <c r="I35" s="18">
        <f>'MERCADO TUSD'!$U$32</f>
        <v>0</v>
      </c>
      <c r="J35" s="15"/>
      <c r="L35" s="13"/>
      <c r="M35" s="13"/>
      <c r="N35" s="13"/>
      <c r="O35" s="13"/>
      <c r="P35" s="13"/>
      <c r="Q35" s="13"/>
      <c r="R35" s="13"/>
      <c r="S35" s="13"/>
      <c r="T35" s="13"/>
      <c r="U35" s="13">
        <v>0</v>
      </c>
      <c r="V35" s="13">
        <v>0</v>
      </c>
      <c r="W35" s="13">
        <v>0</v>
      </c>
      <c r="X35" s="13">
        <v>0</v>
      </c>
      <c r="Y35" s="13">
        <f>(1 - CUSTOS!$M$29)*190.257</f>
        <v>190.25700000000001</v>
      </c>
      <c r="Z35" s="13">
        <v>0</v>
      </c>
      <c r="AA35" s="13">
        <v>0</v>
      </c>
      <c r="AB35" s="13"/>
      <c r="AC35" s="13">
        <f>(1 - CUSTOS!$M$29)*901.5727</f>
        <v>901.57270000000005</v>
      </c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P35" s="13">
        <f>IF((1 - CUSTOS!$M$29)&lt;&gt;0,1/(1 - CUSTOS!$M$29),1)</f>
        <v>1</v>
      </c>
    </row>
    <row r="36" spans="1:42" ht="11.25" customHeight="1" x14ac:dyDescent="0.3">
      <c r="A36" s="92"/>
      <c r="B36" s="92"/>
      <c r="C36" s="92"/>
      <c r="D36" s="92"/>
      <c r="E36" s="92"/>
      <c r="F36" s="92"/>
      <c r="G36" s="18" t="s">
        <v>71</v>
      </c>
      <c r="H36" s="18" t="s">
        <v>69</v>
      </c>
      <c r="I36" s="18">
        <f>'MERCADO TUSD'!$U$33</f>
        <v>0</v>
      </c>
      <c r="J36" s="15"/>
      <c r="L36" s="13"/>
      <c r="M36" s="13"/>
      <c r="N36" s="13"/>
      <c r="O36" s="13"/>
      <c r="P36" s="13"/>
      <c r="Q36" s="13"/>
      <c r="R36" s="13"/>
      <c r="S36" s="13"/>
      <c r="T36" s="13"/>
      <c r="U36" s="13">
        <v>0</v>
      </c>
      <c r="V36" s="13">
        <v>0</v>
      </c>
      <c r="W36" s="13">
        <v>0</v>
      </c>
      <c r="X36" s="13">
        <v>0</v>
      </c>
      <c r="Y36" s="13">
        <f>(1 - CUSTOS!$M$29)*63.4598</f>
        <v>63.459800000000001</v>
      </c>
      <c r="Z36" s="13">
        <v>0</v>
      </c>
      <c r="AA36" s="13">
        <v>0</v>
      </c>
      <c r="AB36" s="13"/>
      <c r="AC36" s="13">
        <f>(1 - CUSTOS!$M$29)*300.5239</f>
        <v>300.52390000000003</v>
      </c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P36" s="13">
        <f>IF((1 - CUSTOS!$M$29)&lt;&gt;0,1/(1 - CUSTOS!$M$29),1)</f>
        <v>1</v>
      </c>
    </row>
    <row r="37" spans="1:42" ht="11.25" customHeight="1" x14ac:dyDescent="0.3">
      <c r="A37" s="92"/>
      <c r="B37" s="17" t="s">
        <v>23</v>
      </c>
      <c r="C37" s="17" t="s">
        <v>43</v>
      </c>
      <c r="D37" s="17" t="s">
        <v>85</v>
      </c>
      <c r="E37" s="17" t="s">
        <v>25</v>
      </c>
      <c r="F37" s="17" t="s">
        <v>25</v>
      </c>
      <c r="G37" s="18" t="s">
        <v>75</v>
      </c>
      <c r="H37" s="18" t="s">
        <v>69</v>
      </c>
      <c r="I37" s="18">
        <f>'MERCADO TUSD'!$U$34</f>
        <v>0</v>
      </c>
      <c r="J37" s="15"/>
      <c r="L37" s="13"/>
      <c r="M37" s="13"/>
      <c r="N37" s="13"/>
      <c r="O37" s="13"/>
      <c r="P37" s="13"/>
      <c r="Q37" s="13"/>
      <c r="R37" s="13"/>
      <c r="S37" s="13"/>
      <c r="T37" s="13"/>
      <c r="U37" s="13">
        <v>0</v>
      </c>
      <c r="V37" s="13">
        <v>0</v>
      </c>
      <c r="W37" s="13">
        <v>0</v>
      </c>
      <c r="X37" s="13">
        <v>0</v>
      </c>
      <c r="Y37" s="13">
        <f>(1 - CUSTOS!$M$29)*107.5392</f>
        <v>107.53919999999999</v>
      </c>
      <c r="Z37" s="13">
        <v>0</v>
      </c>
      <c r="AA37" s="13">
        <v>0</v>
      </c>
      <c r="AB37" s="13"/>
      <c r="AC37" s="13">
        <f>(1 - CUSTOS!$M$29)*509.3629</f>
        <v>509.36290000000002</v>
      </c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P37" s="13">
        <f>IF((1 - CUSTOS!$M$29)&lt;&gt;0,1/(1 - CUSTOS!$M$29),1)</f>
        <v>1</v>
      </c>
    </row>
    <row r="38" spans="1:42" ht="11.25" customHeight="1" x14ac:dyDescent="0.3">
      <c r="A38" s="92"/>
      <c r="B38" s="92" t="s">
        <v>39</v>
      </c>
      <c r="C38" s="92" t="s">
        <v>43</v>
      </c>
      <c r="D38" s="92" t="s">
        <v>86</v>
      </c>
      <c r="E38" s="92" t="s">
        <v>25</v>
      </c>
      <c r="F38" s="92" t="s">
        <v>25</v>
      </c>
      <c r="G38" s="18" t="s">
        <v>70</v>
      </c>
      <c r="H38" s="18" t="s">
        <v>69</v>
      </c>
      <c r="I38" s="18">
        <f>'MERCADO TUSD'!$U$35</f>
        <v>0</v>
      </c>
      <c r="J38" s="15"/>
      <c r="L38" s="13"/>
      <c r="M38" s="13"/>
      <c r="N38" s="13"/>
      <c r="O38" s="13"/>
      <c r="P38" s="13"/>
      <c r="Q38" s="13"/>
      <c r="R38" s="13"/>
      <c r="S38" s="13"/>
      <c r="T38" s="13"/>
      <c r="U38" s="13">
        <v>0</v>
      </c>
      <c r="V38" s="13">
        <v>0</v>
      </c>
      <c r="W38" s="13">
        <v>0</v>
      </c>
      <c r="X38" s="13">
        <v>0</v>
      </c>
      <c r="Y38" s="13">
        <f>(1 - CUSTOS!$M$30)*317.1765</f>
        <v>317.17649999999998</v>
      </c>
      <c r="Z38" s="13">
        <v>0</v>
      </c>
      <c r="AA38" s="13">
        <v>0</v>
      </c>
      <c r="AB38" s="13"/>
      <c r="AC38" s="13">
        <f>(1 - CUSTOS!$M$30)*1502.6205</f>
        <v>1502.6205</v>
      </c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P38" s="13">
        <f>IF((1 - CUSTOS!$M$30)&lt;&gt;0,1/(1 - CUSTOS!$M$30),1)</f>
        <v>1</v>
      </c>
    </row>
    <row r="39" spans="1:42" ht="11.25" customHeight="1" x14ac:dyDescent="0.3">
      <c r="A39" s="92"/>
      <c r="B39" s="92"/>
      <c r="C39" s="92"/>
      <c r="D39" s="92"/>
      <c r="E39" s="92"/>
      <c r="F39" s="92"/>
      <c r="G39" s="18" t="s">
        <v>81</v>
      </c>
      <c r="H39" s="18" t="s">
        <v>69</v>
      </c>
      <c r="I39" s="18">
        <f>'MERCADO TUSD'!$U$36</f>
        <v>0</v>
      </c>
      <c r="J39" s="15"/>
      <c r="L39" s="13"/>
      <c r="M39" s="13"/>
      <c r="N39" s="13"/>
      <c r="O39" s="13"/>
      <c r="P39" s="13"/>
      <c r="Q39" s="13"/>
      <c r="R39" s="13"/>
      <c r="S39" s="13"/>
      <c r="T39" s="13"/>
      <c r="U39" s="13">
        <v>0</v>
      </c>
      <c r="V39" s="13">
        <v>0</v>
      </c>
      <c r="W39" s="13">
        <v>0</v>
      </c>
      <c r="X39" s="13">
        <v>0</v>
      </c>
      <c r="Y39" s="13">
        <f>(1 - CUSTOS!$M$30)*190.257</f>
        <v>190.25700000000001</v>
      </c>
      <c r="Z39" s="13">
        <v>0</v>
      </c>
      <c r="AA39" s="13">
        <v>0</v>
      </c>
      <c r="AB39" s="13"/>
      <c r="AC39" s="13">
        <f>(1 - CUSTOS!$M$30)*901.5727</f>
        <v>901.57270000000005</v>
      </c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P39" s="13">
        <f>IF((1 - CUSTOS!$M$30)&lt;&gt;0,1/(1 - CUSTOS!$M$30),1)</f>
        <v>1</v>
      </c>
    </row>
    <row r="40" spans="1:42" ht="11.25" customHeight="1" x14ac:dyDescent="0.3">
      <c r="A40" s="92"/>
      <c r="B40" s="92"/>
      <c r="C40" s="92"/>
      <c r="D40" s="92"/>
      <c r="E40" s="92"/>
      <c r="F40" s="92"/>
      <c r="G40" s="18" t="s">
        <v>71</v>
      </c>
      <c r="H40" s="18" t="s">
        <v>69</v>
      </c>
      <c r="I40" s="18">
        <f>'MERCADO TUSD'!$U$37</f>
        <v>0</v>
      </c>
      <c r="J40" s="15"/>
      <c r="L40" s="13"/>
      <c r="M40" s="13"/>
      <c r="N40" s="13"/>
      <c r="O40" s="13"/>
      <c r="P40" s="13"/>
      <c r="Q40" s="13"/>
      <c r="R40" s="13"/>
      <c r="S40" s="13"/>
      <c r="T40" s="13"/>
      <c r="U40" s="13">
        <v>0</v>
      </c>
      <c r="V40" s="13">
        <v>0</v>
      </c>
      <c r="W40" s="13">
        <v>0</v>
      </c>
      <c r="X40" s="13">
        <v>0</v>
      </c>
      <c r="Y40" s="13">
        <f>(1 - CUSTOS!$M$30)*63.4598</f>
        <v>63.459800000000001</v>
      </c>
      <c r="Z40" s="13">
        <v>0</v>
      </c>
      <c r="AA40" s="13">
        <v>0</v>
      </c>
      <c r="AB40" s="13"/>
      <c r="AC40" s="13">
        <f>(1 - CUSTOS!$M$30)*300.5239</f>
        <v>300.52390000000003</v>
      </c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P40" s="13">
        <f>IF((1 - CUSTOS!$M$30)&lt;&gt;0,1/(1 - CUSTOS!$M$30),1)</f>
        <v>1</v>
      </c>
    </row>
    <row r="41" spans="1:42" ht="11.25" customHeight="1" x14ac:dyDescent="0.3">
      <c r="A41" s="92"/>
      <c r="B41" s="17" t="s">
        <v>23</v>
      </c>
      <c r="C41" s="17" t="s">
        <v>43</v>
      </c>
      <c r="D41" s="17" t="s">
        <v>86</v>
      </c>
      <c r="E41" s="17" t="s">
        <v>25</v>
      </c>
      <c r="F41" s="17" t="s">
        <v>25</v>
      </c>
      <c r="G41" s="18" t="s">
        <v>75</v>
      </c>
      <c r="H41" s="18" t="s">
        <v>69</v>
      </c>
      <c r="I41" s="18">
        <f>'MERCADO TUSD'!$U$38</f>
        <v>0</v>
      </c>
      <c r="J41" s="15"/>
      <c r="L41" s="13"/>
      <c r="M41" s="13"/>
      <c r="N41" s="13"/>
      <c r="O41" s="13"/>
      <c r="P41" s="13"/>
      <c r="Q41" s="13"/>
      <c r="R41" s="13"/>
      <c r="S41" s="13"/>
      <c r="T41" s="13"/>
      <c r="U41" s="13">
        <v>0</v>
      </c>
      <c r="V41" s="13">
        <v>0</v>
      </c>
      <c r="W41" s="13">
        <v>0</v>
      </c>
      <c r="X41" s="13">
        <v>0</v>
      </c>
      <c r="Y41" s="13">
        <f>(1 - CUSTOS!$M$30)*107.5392</f>
        <v>107.53919999999999</v>
      </c>
      <c r="Z41" s="13">
        <v>0</v>
      </c>
      <c r="AA41" s="13">
        <v>0</v>
      </c>
      <c r="AB41" s="13"/>
      <c r="AC41" s="13">
        <f>(1 - CUSTOS!$M$30)*509.3629</f>
        <v>509.36290000000002</v>
      </c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P41" s="13">
        <f>IF((1 - CUSTOS!$M$30)&lt;&gt;0,1/(1 - CUSTOS!$M$30),1)</f>
        <v>1</v>
      </c>
    </row>
    <row r="42" spans="1:42" ht="11.25" customHeight="1" x14ac:dyDescent="0.3">
      <c r="A42" s="92"/>
      <c r="B42" s="92" t="s">
        <v>84</v>
      </c>
      <c r="C42" s="92" t="s">
        <v>43</v>
      </c>
      <c r="D42" s="17" t="s">
        <v>25</v>
      </c>
      <c r="E42" s="17" t="s">
        <v>25</v>
      </c>
      <c r="F42" s="17" t="s">
        <v>25</v>
      </c>
      <c r="G42" s="18" t="s">
        <v>75</v>
      </c>
      <c r="H42" s="18" t="s">
        <v>69</v>
      </c>
      <c r="I42" s="18">
        <f>'MERCADO TUSD'!$U$39</f>
        <v>0</v>
      </c>
      <c r="J42" s="15"/>
      <c r="L42" s="13"/>
      <c r="M42" s="13"/>
      <c r="N42" s="13"/>
      <c r="O42" s="13"/>
      <c r="P42" s="13"/>
      <c r="Q42" s="13"/>
      <c r="R42" s="13"/>
      <c r="S42" s="13"/>
      <c r="T42" s="13"/>
      <c r="U42" s="13">
        <v>0</v>
      </c>
      <c r="V42" s="13">
        <v>0</v>
      </c>
      <c r="W42" s="13">
        <v>0</v>
      </c>
      <c r="X42" s="13">
        <v>0</v>
      </c>
      <c r="Y42" s="13">
        <f>(1 - CUSTOS!$M$28)*107.5392</f>
        <v>107.53919999999999</v>
      </c>
      <c r="Z42" s="13">
        <v>0</v>
      </c>
      <c r="AA42" s="13">
        <v>0</v>
      </c>
      <c r="AB42" s="13"/>
      <c r="AC42" s="13">
        <f>(1 - CUSTOS!$M$28)*509.3629</f>
        <v>509.36290000000002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P42" s="13">
        <f>IF((1 - CUSTOS!$M$28)&lt;&gt;0,1/(1 - CUSTOS!$M$28),1)</f>
        <v>1</v>
      </c>
    </row>
    <row r="43" spans="1:42" ht="11.25" customHeight="1" x14ac:dyDescent="0.3">
      <c r="A43" s="92"/>
      <c r="B43" s="92"/>
      <c r="C43" s="92"/>
      <c r="D43" s="17" t="s">
        <v>85</v>
      </c>
      <c r="E43" s="17" t="s">
        <v>25</v>
      </c>
      <c r="F43" s="17" t="s">
        <v>25</v>
      </c>
      <c r="G43" s="18" t="s">
        <v>75</v>
      </c>
      <c r="H43" s="18" t="s">
        <v>69</v>
      </c>
      <c r="I43" s="18">
        <f>'MERCADO TUSD'!$U$40</f>
        <v>0</v>
      </c>
      <c r="J43" s="15"/>
      <c r="L43" s="13"/>
      <c r="M43" s="13"/>
      <c r="N43" s="13"/>
      <c r="O43" s="13"/>
      <c r="P43" s="13"/>
      <c r="Q43" s="13"/>
      <c r="R43" s="13"/>
      <c r="S43" s="13"/>
      <c r="T43" s="13"/>
      <c r="U43" s="13">
        <v>0</v>
      </c>
      <c r="V43" s="13">
        <v>0</v>
      </c>
      <c r="W43" s="13">
        <v>0</v>
      </c>
      <c r="X43" s="13">
        <v>0</v>
      </c>
      <c r="Y43" s="13">
        <f>(1 - CUSTOS!$M$29)*107.5392</f>
        <v>107.53919999999999</v>
      </c>
      <c r="Z43" s="13">
        <v>0</v>
      </c>
      <c r="AA43" s="13">
        <v>0</v>
      </c>
      <c r="AB43" s="13"/>
      <c r="AC43" s="13">
        <f>(1 - CUSTOS!$M$29)*509.3629</f>
        <v>509.36290000000002</v>
      </c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P43" s="13">
        <f>IF((1 - CUSTOS!$M$29)&lt;&gt;0,1/(1 - CUSTOS!$M$29),1)</f>
        <v>1</v>
      </c>
    </row>
    <row r="44" spans="1:42" ht="11.25" customHeight="1" x14ac:dyDescent="0.3">
      <c r="A44" s="92"/>
      <c r="B44" s="92"/>
      <c r="C44" s="92"/>
      <c r="D44" s="17" t="s">
        <v>86</v>
      </c>
      <c r="E44" s="17" t="s">
        <v>25</v>
      </c>
      <c r="F44" s="17" t="s">
        <v>25</v>
      </c>
      <c r="G44" s="18" t="s">
        <v>75</v>
      </c>
      <c r="H44" s="18" t="s">
        <v>69</v>
      </c>
      <c r="I44" s="18">
        <f>'MERCADO TUSD'!$U$41</f>
        <v>0</v>
      </c>
      <c r="J44" s="15"/>
      <c r="L44" s="13"/>
      <c r="M44" s="13"/>
      <c r="N44" s="13"/>
      <c r="O44" s="13"/>
      <c r="P44" s="13"/>
      <c r="Q44" s="13"/>
      <c r="R44" s="13"/>
      <c r="S44" s="13"/>
      <c r="T44" s="13"/>
      <c r="U44" s="13">
        <v>0</v>
      </c>
      <c r="V44" s="13">
        <v>0</v>
      </c>
      <c r="W44" s="13">
        <v>0</v>
      </c>
      <c r="X44" s="13">
        <v>0</v>
      </c>
      <c r="Y44" s="13">
        <f>(1 - CUSTOS!$M$30)*107.5392</f>
        <v>107.53919999999999</v>
      </c>
      <c r="Z44" s="13">
        <v>0</v>
      </c>
      <c r="AA44" s="13">
        <v>0</v>
      </c>
      <c r="AB44" s="13"/>
      <c r="AC44" s="13">
        <f>(1 - CUSTOS!$M$30)*509.3629</f>
        <v>509.36290000000002</v>
      </c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P44" s="13">
        <f>IF((1 - CUSTOS!$M$30)&lt;&gt;0,1/(1 - CUSTOS!$M$30),1)</f>
        <v>1</v>
      </c>
    </row>
    <row r="45" spans="1:42" ht="11.25" customHeight="1" x14ac:dyDescent="0.3">
      <c r="A45" s="92" t="s">
        <v>33</v>
      </c>
      <c r="B45" s="92" t="s">
        <v>39</v>
      </c>
      <c r="C45" s="92" t="s">
        <v>25</v>
      </c>
      <c r="D45" s="92" t="s">
        <v>25</v>
      </c>
      <c r="E45" s="92" t="s">
        <v>25</v>
      </c>
      <c r="F45" s="92" t="s">
        <v>25</v>
      </c>
      <c r="G45" s="18" t="s">
        <v>70</v>
      </c>
      <c r="H45" s="18" t="s">
        <v>69</v>
      </c>
      <c r="I45" s="18">
        <f>'MERCADO TUSD'!$U$42</f>
        <v>1.0529999999999999</v>
      </c>
      <c r="J45" s="15"/>
      <c r="L45" s="13"/>
      <c r="M45" s="13"/>
      <c r="N45" s="13"/>
      <c r="O45" s="13"/>
      <c r="P45" s="13"/>
      <c r="Q45" s="13"/>
      <c r="R45" s="13"/>
      <c r="S45" s="13"/>
      <c r="T45" s="13"/>
      <c r="U45" s="13">
        <v>0</v>
      </c>
      <c r="V45" s="13">
        <v>0</v>
      </c>
      <c r="W45" s="13">
        <v>0</v>
      </c>
      <c r="X45" s="13">
        <v>0</v>
      </c>
      <c r="Y45" s="13">
        <f>(1 - CUSTOS!$M$31)*365.5966</f>
        <v>365.59660000000002</v>
      </c>
      <c r="Z45" s="13">
        <v>0</v>
      </c>
      <c r="AA45" s="13">
        <v>0</v>
      </c>
      <c r="AB45" s="13"/>
      <c r="AC45" s="13">
        <f>(1 - CUSTOS!$M$31)*1731.8338</f>
        <v>1731.8338000000001</v>
      </c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P45" s="13">
        <f>IF((1 - CUSTOS!$M$31)&lt;&gt;0,1/(1 - CUSTOS!$M$31),1)</f>
        <v>1</v>
      </c>
    </row>
    <row r="46" spans="1:42" ht="11.25" customHeight="1" x14ac:dyDescent="0.3">
      <c r="A46" s="92"/>
      <c r="B46" s="92"/>
      <c r="C46" s="92"/>
      <c r="D46" s="92"/>
      <c r="E46" s="92"/>
      <c r="F46" s="92"/>
      <c r="G46" s="18" t="s">
        <v>81</v>
      </c>
      <c r="H46" s="18" t="s">
        <v>69</v>
      </c>
      <c r="I46" s="18">
        <f>'MERCADO TUSD'!$U$43</f>
        <v>2.1969999999999996</v>
      </c>
      <c r="J46" s="15"/>
      <c r="L46" s="13"/>
      <c r="M46" s="13"/>
      <c r="N46" s="13"/>
      <c r="O46" s="13"/>
      <c r="P46" s="13"/>
      <c r="Q46" s="13"/>
      <c r="R46" s="13"/>
      <c r="S46" s="13"/>
      <c r="T46" s="13"/>
      <c r="U46" s="13">
        <v>0</v>
      </c>
      <c r="V46" s="13">
        <v>0</v>
      </c>
      <c r="W46" s="13">
        <v>0</v>
      </c>
      <c r="X46" s="13">
        <v>0</v>
      </c>
      <c r="Y46" s="13">
        <f>(1 - CUSTOS!$M$31)*219.2968</f>
        <v>219.29679999999999</v>
      </c>
      <c r="Z46" s="13">
        <v>0</v>
      </c>
      <c r="AA46" s="13">
        <v>0</v>
      </c>
      <c r="AB46" s="13"/>
      <c r="AC46" s="13">
        <f>(1 - CUSTOS!$M$31)*1039.1002</f>
        <v>1039.1002000000001</v>
      </c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P46" s="13">
        <f>IF((1 - CUSTOS!$M$31)&lt;&gt;0,1/(1 - CUSTOS!$M$31),1)</f>
        <v>1</v>
      </c>
    </row>
    <row r="47" spans="1:42" ht="11.25" customHeight="1" x14ac:dyDescent="0.3">
      <c r="A47" s="92"/>
      <c r="B47" s="92"/>
      <c r="C47" s="92"/>
      <c r="D47" s="92"/>
      <c r="E47" s="92"/>
      <c r="F47" s="92"/>
      <c r="G47" s="18" t="s">
        <v>71</v>
      </c>
      <c r="H47" s="18" t="s">
        <v>69</v>
      </c>
      <c r="I47" s="18">
        <f>'MERCADO TUSD'!$U$44</f>
        <v>373.07</v>
      </c>
      <c r="J47" s="15"/>
      <c r="L47" s="13"/>
      <c r="M47" s="13"/>
      <c r="N47" s="13"/>
      <c r="O47" s="13"/>
      <c r="P47" s="13"/>
      <c r="Q47" s="13"/>
      <c r="R47" s="13"/>
      <c r="S47" s="13"/>
      <c r="T47" s="13"/>
      <c r="U47" s="13">
        <v>0</v>
      </c>
      <c r="V47" s="13">
        <v>0</v>
      </c>
      <c r="W47" s="13">
        <v>0</v>
      </c>
      <c r="X47" s="13">
        <v>0</v>
      </c>
      <c r="Y47" s="13">
        <f>(1 - CUSTOS!$M$31)*73.1193</f>
        <v>73.119299999999996</v>
      </c>
      <c r="Z47" s="13">
        <v>0</v>
      </c>
      <c r="AA47" s="13">
        <v>0</v>
      </c>
      <c r="AB47" s="13"/>
      <c r="AC47" s="13">
        <f>(1 - CUSTOS!$M$31)*346.3671</f>
        <v>346.36709999999999</v>
      </c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P47" s="13">
        <f>IF((1 - CUSTOS!$M$31)&lt;&gt;0,1/(1 - CUSTOS!$M$31),1)</f>
        <v>1</v>
      </c>
    </row>
    <row r="48" spans="1:42" ht="11.25" customHeight="1" x14ac:dyDescent="0.3">
      <c r="A48" s="92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75</v>
      </c>
      <c r="H48" s="18" t="s">
        <v>69</v>
      </c>
      <c r="I48" s="18">
        <f>'MERCADO TUSD'!$U$45</f>
        <v>3199.5530000000003</v>
      </c>
      <c r="J48" s="15"/>
      <c r="L48" s="13"/>
      <c r="M48" s="13"/>
      <c r="N48" s="13"/>
      <c r="O48" s="13"/>
      <c r="P48" s="13"/>
      <c r="Q48" s="13"/>
      <c r="R48" s="13"/>
      <c r="S48" s="13"/>
      <c r="T48" s="13"/>
      <c r="U48" s="13">
        <v>0</v>
      </c>
      <c r="V48" s="13">
        <v>0</v>
      </c>
      <c r="W48" s="13">
        <v>0</v>
      </c>
      <c r="X48" s="13">
        <v>0</v>
      </c>
      <c r="Y48" s="13">
        <f>(1 - CUSTOS!$M$31)*107.5392</f>
        <v>107.53919999999999</v>
      </c>
      <c r="Z48" s="13">
        <v>0</v>
      </c>
      <c r="AA48" s="13">
        <v>0</v>
      </c>
      <c r="AB48" s="13"/>
      <c r="AC48" s="13">
        <f>(1 - CUSTOS!$M$31)*509.3629</f>
        <v>509.36290000000002</v>
      </c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P48" s="13">
        <f>IF((1 - CUSTOS!$M$31)&lt;&gt;0,1/(1 - CUSTOS!$M$31),1)</f>
        <v>1</v>
      </c>
    </row>
    <row r="49" spans="1:42" ht="11.25" customHeight="1" x14ac:dyDescent="0.3">
      <c r="A49" s="92"/>
      <c r="B49" s="17" t="s">
        <v>84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75</v>
      </c>
      <c r="H49" s="18" t="s">
        <v>69</v>
      </c>
      <c r="I49" s="18">
        <f>'MERCADO TUSD'!$U$46</f>
        <v>0</v>
      </c>
      <c r="J49" s="15"/>
      <c r="L49" s="13"/>
      <c r="M49" s="13"/>
      <c r="N49" s="13"/>
      <c r="O49" s="13"/>
      <c r="P49" s="13"/>
      <c r="Q49" s="13"/>
      <c r="R49" s="13"/>
      <c r="S49" s="13"/>
      <c r="T49" s="13"/>
      <c r="U49" s="13">
        <v>0</v>
      </c>
      <c r="V49" s="13">
        <v>0</v>
      </c>
      <c r="W49" s="13">
        <v>0</v>
      </c>
      <c r="X49" s="13">
        <v>0</v>
      </c>
      <c r="Y49" s="13">
        <f>(1 - CUSTOS!$M$31)*107.5392</f>
        <v>107.53919999999999</v>
      </c>
      <c r="Z49" s="13">
        <v>0</v>
      </c>
      <c r="AA49" s="13">
        <v>0</v>
      </c>
      <c r="AB49" s="13"/>
      <c r="AC49" s="13">
        <f>(1 - CUSTOS!$M$31)*509.3629</f>
        <v>509.36290000000002</v>
      </c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P49" s="13">
        <f>IF((1 - CUSTOS!$M$31)&lt;&gt;0,1/(1 - CUSTOS!$M$31),1)</f>
        <v>1</v>
      </c>
    </row>
    <row r="50" spans="1:42" ht="11.25" customHeight="1" x14ac:dyDescent="0.3">
      <c r="A50" s="92" t="s">
        <v>45</v>
      </c>
      <c r="B50" s="92" t="s">
        <v>23</v>
      </c>
      <c r="C50" s="92" t="s">
        <v>46</v>
      </c>
      <c r="D50" s="17" t="s">
        <v>47</v>
      </c>
      <c r="E50" s="17" t="s">
        <v>25</v>
      </c>
      <c r="F50" s="17" t="s">
        <v>25</v>
      </c>
      <c r="G50" s="18" t="s">
        <v>75</v>
      </c>
      <c r="H50" s="18" t="s">
        <v>69</v>
      </c>
      <c r="I50" s="18">
        <f>'MERCADO TUSD'!$U$47</f>
        <v>1010.7439999999999</v>
      </c>
      <c r="J50" s="15"/>
      <c r="L50" s="13"/>
      <c r="M50" s="13"/>
      <c r="N50" s="13"/>
      <c r="O50" s="13"/>
      <c r="P50" s="13"/>
      <c r="Q50" s="13"/>
      <c r="R50" s="13"/>
      <c r="S50" s="13"/>
      <c r="T50" s="13"/>
      <c r="U50" s="13">
        <v>0</v>
      </c>
      <c r="V50" s="13">
        <v>0</v>
      </c>
      <c r="W50" s="13">
        <v>0</v>
      </c>
      <c r="X50" s="13">
        <v>0</v>
      </c>
      <c r="Y50" s="13">
        <f>(1 - CUSTOS!$M$32)*107.5392</f>
        <v>59.146560000000001</v>
      </c>
      <c r="Z50" s="13">
        <v>0</v>
      </c>
      <c r="AA50" s="13">
        <v>0</v>
      </c>
      <c r="AB50" s="13"/>
      <c r="AC50" s="13">
        <f>(1 - CUSTOS!$M$32)*509.3629</f>
        <v>280.14959500000003</v>
      </c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3">
      <c r="A51" s="92"/>
      <c r="B51" s="92"/>
      <c r="C51" s="92"/>
      <c r="D51" s="18" t="s">
        <v>87</v>
      </c>
      <c r="E51" s="18" t="s">
        <v>25</v>
      </c>
      <c r="F51" s="18" t="s">
        <v>25</v>
      </c>
      <c r="G51" s="18" t="s">
        <v>75</v>
      </c>
      <c r="H51" s="18" t="s">
        <v>69</v>
      </c>
      <c r="I51" s="18">
        <f>'MERCADO TUSD'!$U$48</f>
        <v>0</v>
      </c>
      <c r="J51" s="15"/>
      <c r="L51" s="13"/>
      <c r="M51" s="13"/>
      <c r="N51" s="13"/>
      <c r="O51" s="13"/>
      <c r="P51" s="13"/>
      <c r="Q51" s="13"/>
      <c r="R51" s="13"/>
      <c r="S51" s="13"/>
      <c r="T51" s="13"/>
      <c r="U51" s="13">
        <v>0</v>
      </c>
      <c r="V51" s="13">
        <v>0</v>
      </c>
      <c r="W51" s="13">
        <v>0</v>
      </c>
      <c r="X51" s="13">
        <v>0</v>
      </c>
      <c r="Y51" s="13">
        <f>(1 - CUSTOS!$M$33)*107.5392</f>
        <v>64.523519999999991</v>
      </c>
      <c r="Z51" s="13">
        <v>0</v>
      </c>
      <c r="AA51" s="13">
        <v>0</v>
      </c>
      <c r="AB51" s="13"/>
      <c r="AC51" s="13">
        <f>(1 - CUSTOS!$M$33)*509.3629</f>
        <v>305.61774000000003</v>
      </c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P51" s="13">
        <f>IF((1 - CUSTOS!$M$33)&lt;&gt;0,1/(1 - CUSTOS!$M$33),1)</f>
        <v>1.6666666666666667</v>
      </c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6898-FD4B-4332-8BDD-DE339BCE5965}">
  <sheetPr codeName="Planilha8"/>
  <dimension ref="A1:AP70"/>
  <sheetViews>
    <sheetView showGridLines="0" topLeftCell="C35" workbookViewId="0">
      <selection activeCell="K62" sqref="K62:P62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8.664062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10.44140625" style="9" bestFit="1" customWidth="1"/>
    <col min="14" max="14" width="11.6640625" style="9" bestFit="1" customWidth="1"/>
    <col min="15" max="16" width="9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10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.88671875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1" width="9.109375" style="9"/>
    <col min="42" max="42" width="7.88671875" style="9" bestFit="1" customWidth="1"/>
    <col min="43" max="16384" width="9.109375" style="9"/>
  </cols>
  <sheetData>
    <row r="1" spans="1:42" ht="11.25" customHeight="1" x14ac:dyDescent="0.3">
      <c r="A1" s="88" t="s">
        <v>59</v>
      </c>
      <c r="B1" s="88" t="s">
        <v>60</v>
      </c>
      <c r="C1" s="88" t="s">
        <v>61</v>
      </c>
      <c r="D1" s="88" t="s">
        <v>62</v>
      </c>
      <c r="E1" s="88" t="s">
        <v>63</v>
      </c>
      <c r="F1" s="88" t="s">
        <v>15</v>
      </c>
      <c r="G1" s="88" t="s">
        <v>65</v>
      </c>
      <c r="H1" s="88" t="s">
        <v>66</v>
      </c>
      <c r="I1" s="88" t="s">
        <v>524</v>
      </c>
      <c r="J1" s="86"/>
      <c r="L1" s="89" t="s">
        <v>525</v>
      </c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P1" s="89" t="s">
        <v>526</v>
      </c>
    </row>
    <row r="2" spans="1:42" ht="11.25" customHeight="1" x14ac:dyDescent="0.3">
      <c r="A2" s="88"/>
      <c r="B2" s="88"/>
      <c r="C2" s="88"/>
      <c r="D2" s="88"/>
      <c r="E2" s="88"/>
      <c r="F2" s="88"/>
      <c r="G2" s="88"/>
      <c r="H2" s="88"/>
      <c r="I2" s="88"/>
      <c r="J2" s="86"/>
      <c r="L2" s="89" t="s">
        <v>423</v>
      </c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P2" s="90"/>
    </row>
    <row r="3" spans="1:42" ht="11.2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6"/>
      <c r="L3" s="89" t="s">
        <v>424</v>
      </c>
      <c r="M3" s="89"/>
      <c r="N3" s="89"/>
      <c r="O3" s="89"/>
      <c r="P3" s="89"/>
      <c r="Q3" s="89"/>
      <c r="R3" s="89"/>
      <c r="S3" s="89"/>
      <c r="T3" s="89"/>
      <c r="U3" s="89" t="s">
        <v>433</v>
      </c>
      <c r="V3" s="89"/>
      <c r="W3" s="89"/>
      <c r="X3" s="89"/>
      <c r="Y3" s="89"/>
      <c r="Z3" s="89"/>
      <c r="AA3" s="89"/>
      <c r="AB3" s="89"/>
      <c r="AC3" s="89" t="s">
        <v>441</v>
      </c>
      <c r="AD3" s="89"/>
      <c r="AE3" s="89" t="s">
        <v>443</v>
      </c>
      <c r="AF3" s="89"/>
      <c r="AG3" s="89"/>
      <c r="AH3" s="89" t="s">
        <v>446</v>
      </c>
      <c r="AI3" s="89"/>
      <c r="AJ3" s="89"/>
      <c r="AK3" s="89"/>
      <c r="AL3" s="89"/>
      <c r="AM3" s="89" t="s">
        <v>432</v>
      </c>
      <c r="AP3" s="90"/>
    </row>
    <row r="4" spans="1:42" ht="11.25" customHeight="1" x14ac:dyDescent="0.3">
      <c r="A4" s="88"/>
      <c r="B4" s="88"/>
      <c r="C4" s="88"/>
      <c r="D4" s="88"/>
      <c r="E4" s="88"/>
      <c r="F4" s="88"/>
      <c r="G4" s="88"/>
      <c r="H4" s="88"/>
      <c r="I4" s="88"/>
      <c r="J4" s="86"/>
      <c r="L4" s="10" t="s">
        <v>509</v>
      </c>
      <c r="M4" s="10" t="s">
        <v>425</v>
      </c>
      <c r="N4" s="10" t="s">
        <v>426</v>
      </c>
      <c r="O4" s="10" t="s">
        <v>427</v>
      </c>
      <c r="P4" s="10" t="s">
        <v>428</v>
      </c>
      <c r="Q4" s="10" t="s">
        <v>429</v>
      </c>
      <c r="R4" s="10" t="s">
        <v>430</v>
      </c>
      <c r="S4" s="10" t="s">
        <v>431</v>
      </c>
      <c r="T4" s="10" t="s">
        <v>432</v>
      </c>
      <c r="U4" s="10" t="s">
        <v>434</v>
      </c>
      <c r="V4" s="10" t="s">
        <v>435</v>
      </c>
      <c r="W4" s="10" t="s">
        <v>436</v>
      </c>
      <c r="X4" s="10" t="s">
        <v>437</v>
      </c>
      <c r="Y4" s="10" t="s">
        <v>438</v>
      </c>
      <c r="Z4" s="10" t="s">
        <v>439</v>
      </c>
      <c r="AA4" s="10" t="s">
        <v>440</v>
      </c>
      <c r="AB4" s="10" t="s">
        <v>432</v>
      </c>
      <c r="AC4" s="10" t="s">
        <v>442</v>
      </c>
      <c r="AD4" s="10" t="s">
        <v>432</v>
      </c>
      <c r="AE4" s="10" t="s">
        <v>444</v>
      </c>
      <c r="AF4" s="10" t="s">
        <v>445</v>
      </c>
      <c r="AG4" s="10" t="s">
        <v>432</v>
      </c>
      <c r="AH4" s="10" t="s">
        <v>447</v>
      </c>
      <c r="AI4" s="10" t="s">
        <v>448</v>
      </c>
      <c r="AJ4" s="10" t="s">
        <v>449</v>
      </c>
      <c r="AK4" s="10" t="s">
        <v>450</v>
      </c>
      <c r="AL4" s="10" t="s">
        <v>432</v>
      </c>
      <c r="AM4" s="91"/>
      <c r="AP4" s="90"/>
    </row>
    <row r="5" spans="1:42" ht="11.25" customHeight="1" x14ac:dyDescent="0.3">
      <c r="A5" s="92" t="s">
        <v>35</v>
      </c>
      <c r="B5" s="92" t="s">
        <v>50</v>
      </c>
      <c r="C5" s="92" t="s">
        <v>25</v>
      </c>
      <c r="D5" s="92" t="s">
        <v>25</v>
      </c>
      <c r="E5" s="92" t="s">
        <v>25</v>
      </c>
      <c r="F5" s="92" t="s">
        <v>25</v>
      </c>
      <c r="G5" s="18" t="s">
        <v>73</v>
      </c>
      <c r="H5" s="18" t="s">
        <v>72</v>
      </c>
      <c r="I5" s="18">
        <f>'MERCADO TUSD'!$U$2</f>
        <v>201</v>
      </c>
      <c r="J5" s="15"/>
      <c r="L5" s="13">
        <v>0</v>
      </c>
      <c r="M5" s="13">
        <v>0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/>
      <c r="U5" s="13">
        <f>TRANSICAO!$U$5*CUSTOS!$R$3</f>
        <v>0</v>
      </c>
      <c r="V5" s="13">
        <f>TRANSICAO!$V$5*CUSTOS!$R$3</f>
        <v>0</v>
      </c>
      <c r="W5" s="13">
        <f>TRANSICAO!$W$5*CUSTOS!$R$3</f>
        <v>0</v>
      </c>
      <c r="X5" s="13">
        <f>TRANSICAO!$X$5*CUSTOS!$R$3</f>
        <v>0</v>
      </c>
      <c r="Y5" s="13">
        <f>TRANSICAO!$Y$5*CUSTOS!$R$3</f>
        <v>31.057400000000001</v>
      </c>
      <c r="Z5" s="13">
        <f>TRANSICAO!$Z$5*CUSTOS!$R$3</f>
        <v>0</v>
      </c>
      <c r="AA5" s="13">
        <f>TRANSICAO!$AA$5*CUSTOS!$R$3</f>
        <v>0</v>
      </c>
      <c r="AB5" s="13">
        <f>TRANSICAO!$AB$5*CUSTOS!$R$3</f>
        <v>0</v>
      </c>
      <c r="AC5" s="13">
        <f>TRANSICAO!$AC$5*CUSTOS!$R$3</f>
        <v>103.667</v>
      </c>
      <c r="AD5" s="13">
        <f>TRANSICAO!$AD$5*CUSTOS!$R$3</f>
        <v>0</v>
      </c>
      <c r="AE5" s="13">
        <v>0</v>
      </c>
      <c r="AF5" s="13">
        <v>0</v>
      </c>
      <c r="AG5" s="13"/>
      <c r="AH5" s="13">
        <v>0</v>
      </c>
      <c r="AI5" s="13">
        <v>0</v>
      </c>
      <c r="AJ5" s="13">
        <v>0</v>
      </c>
      <c r="AK5" s="13">
        <f t="shared" ref="AK5:AK51" si="0">AJ5</f>
        <v>0</v>
      </c>
      <c r="AL5" s="13"/>
      <c r="AM5" s="13"/>
      <c r="AP5" s="13">
        <v>1</v>
      </c>
    </row>
    <row r="6" spans="1:42" ht="11.25" customHeight="1" x14ac:dyDescent="0.3">
      <c r="A6" s="92"/>
      <c r="B6" s="92"/>
      <c r="C6" s="92"/>
      <c r="D6" s="92"/>
      <c r="E6" s="92"/>
      <c r="F6" s="92"/>
      <c r="G6" s="18" t="s">
        <v>74</v>
      </c>
      <c r="H6" s="18" t="s">
        <v>72</v>
      </c>
      <c r="I6" s="18">
        <f>'MERCADO TUSD'!$U$3</f>
        <v>201</v>
      </c>
      <c r="J6" s="15"/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0</v>
      </c>
      <c r="R6" s="13">
        <v>0</v>
      </c>
      <c r="S6" s="13">
        <v>0</v>
      </c>
      <c r="T6" s="13"/>
      <c r="U6" s="13">
        <f>TRANSICAO!$U$6*CUSTOS!$R$3</f>
        <v>0</v>
      </c>
      <c r="V6" s="13">
        <f>TRANSICAO!$V$6*CUSTOS!$R$3</f>
        <v>0</v>
      </c>
      <c r="W6" s="13">
        <f>TRANSICAO!$W$6*CUSTOS!$R$3</f>
        <v>0</v>
      </c>
      <c r="X6" s="13">
        <f>TRANSICAO!$X$6*CUSTOS!$R$3</f>
        <v>0</v>
      </c>
      <c r="Y6" s="13">
        <f>TRANSICAO!$Y$6*CUSTOS!$R$3</f>
        <v>17.913</v>
      </c>
      <c r="Z6" s="13">
        <f>TRANSICAO!$Z$6*CUSTOS!$R$3</f>
        <v>0</v>
      </c>
      <c r="AA6" s="13">
        <f>TRANSICAO!$AA$6*CUSTOS!$R$3</f>
        <v>0</v>
      </c>
      <c r="AB6" s="13">
        <f>TRANSICAO!$AB$6*CUSTOS!$R$3</f>
        <v>0</v>
      </c>
      <c r="AC6" s="13">
        <f>TRANSICAO!$AC$6*CUSTOS!$R$3</f>
        <v>28.3734</v>
      </c>
      <c r="AD6" s="13">
        <f>TRANSICAO!$AD$6*CUSTOS!$R$3</f>
        <v>0</v>
      </c>
      <c r="AE6" s="13">
        <v>0</v>
      </c>
      <c r="AF6" s="13">
        <v>0</v>
      </c>
      <c r="AG6" s="13"/>
      <c r="AH6" s="13">
        <v>0</v>
      </c>
      <c r="AI6" s="13">
        <v>0</v>
      </c>
      <c r="AJ6" s="13">
        <v>0</v>
      </c>
      <c r="AK6" s="13">
        <f t="shared" si="0"/>
        <v>0</v>
      </c>
      <c r="AL6" s="13"/>
      <c r="AM6" s="13"/>
      <c r="AP6" s="13">
        <v>1</v>
      </c>
    </row>
    <row r="7" spans="1:42" ht="11.25" customHeight="1" x14ac:dyDescent="0.3">
      <c r="A7" s="92"/>
      <c r="B7" s="92"/>
      <c r="C7" s="92"/>
      <c r="D7" s="92"/>
      <c r="E7" s="92"/>
      <c r="F7" s="92"/>
      <c r="G7" s="18" t="s">
        <v>75</v>
      </c>
      <c r="H7" s="18" t="s">
        <v>69</v>
      </c>
      <c r="I7" s="18">
        <f>'MERCADO TUSD'!$U$4</f>
        <v>89.552999999999997</v>
      </c>
      <c r="J7" s="15"/>
      <c r="L7" s="13">
        <f>0.84</f>
        <v>0.84</v>
      </c>
      <c r="M7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0.95551213964193227</v>
      </c>
      <c r="N7" s="13">
        <f ca="1">(+M7+O7+R7+U7+V7+W7+X7+Y7+Z7+AA7+AC7+AH7+AI7+AJ7+AK7)*CUSTOS!$M$5</f>
        <v>2.0763112139641933E-13</v>
      </c>
      <c r="O7" s="13">
        <v>1</v>
      </c>
      <c r="P7" s="13">
        <v>1</v>
      </c>
      <c r="Q7" s="13">
        <f>0.84</f>
        <v>0.84</v>
      </c>
      <c r="R7" s="13">
        <v>1</v>
      </c>
      <c r="S7" s="13">
        <v>1</v>
      </c>
      <c r="T7" s="13"/>
      <c r="U7" s="13">
        <f>TRANSICAO!$U$7*CUSTOS!$R$3</f>
        <v>0</v>
      </c>
      <c r="V7" s="13">
        <f>TRANSICAO!$V$7*CUSTOS!$R$3</f>
        <v>0</v>
      </c>
      <c r="W7" s="13">
        <f>TRANSICAO!$W$7*CUSTOS!$R$3</f>
        <v>0</v>
      </c>
      <c r="X7" s="13">
        <f>TRANSICAO!$X$7*CUSTOS!$R$3</f>
        <v>0</v>
      </c>
      <c r="Y7" s="13">
        <f>TRANSICAO!$Y$7*CUSTOS!$R$3</f>
        <v>0</v>
      </c>
      <c r="Z7" s="13">
        <f>TRANSICAO!$Z$7*CUSTOS!$R$3</f>
        <v>0</v>
      </c>
      <c r="AA7" s="13">
        <f>TRANSICAO!$AA$7*CUSTOS!$R$3</f>
        <v>0</v>
      </c>
      <c r="AB7" s="13">
        <f>TRANSICAO!$AB$7*CUSTOS!$R$3</f>
        <v>0</v>
      </c>
      <c r="AC7" s="13">
        <f>TRANSICAO!$AC$7*CUSTOS!$R$3</f>
        <v>0</v>
      </c>
      <c r="AD7" s="13">
        <f>TRANSICAO!$AD$7*CUSTOS!$R$3</f>
        <v>0</v>
      </c>
      <c r="AE7" s="13">
        <v>0</v>
      </c>
      <c r="AF7" s="13">
        <v>0</v>
      </c>
      <c r="AG7" s="13"/>
      <c r="AH7" s="13">
        <v>8.9038000000000004</v>
      </c>
      <c r="AI7" s="13">
        <v>8.9038000000000004</v>
      </c>
      <c r="AJ7" s="13">
        <f ca="1">$N$63</f>
        <v>0</v>
      </c>
      <c r="AK7" s="13">
        <f t="shared" ca="1" si="0"/>
        <v>0</v>
      </c>
      <c r="AL7" s="13"/>
      <c r="AM7" s="13"/>
      <c r="AP7" s="13">
        <v>1</v>
      </c>
    </row>
    <row r="8" spans="1:42" ht="11.25" customHeight="1" x14ac:dyDescent="0.3">
      <c r="A8" s="92"/>
      <c r="B8" s="92"/>
      <c r="C8" s="92"/>
      <c r="D8" s="92"/>
      <c r="E8" s="17" t="s">
        <v>76</v>
      </c>
      <c r="F8" s="17" t="s">
        <v>25</v>
      </c>
      <c r="G8" s="18" t="s">
        <v>75</v>
      </c>
      <c r="H8" s="18" t="s">
        <v>69</v>
      </c>
      <c r="I8" s="18">
        <f>'MERCADO TUSD'!$U$5</f>
        <v>0</v>
      </c>
      <c r="J8" s="15"/>
      <c r="L8" s="13">
        <v>0</v>
      </c>
      <c r="M8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0.95551213964193227</v>
      </c>
      <c r="N8" s="13">
        <f ca="1">(+M8+O8+R8+U8+V8+W8+X8+Y8+Z8+AA8+AC8+AH8+AI8+AJ8+AK8)*CUSTOS!$M$5</f>
        <v>1.9763112139641932E-13</v>
      </c>
      <c r="O8" s="13">
        <v>1</v>
      </c>
      <c r="P8" s="13">
        <v>0</v>
      </c>
      <c r="Q8" s="13">
        <v>0</v>
      </c>
      <c r="R8" s="13">
        <v>0</v>
      </c>
      <c r="S8" s="13">
        <v>0</v>
      </c>
      <c r="T8" s="13"/>
      <c r="U8" s="13">
        <f>TRANSICAO!$U$8*CUSTOS!$R$3</f>
        <v>0</v>
      </c>
      <c r="V8" s="13">
        <f>TRANSICAO!$V$8*CUSTOS!$R$3</f>
        <v>0</v>
      </c>
      <c r="W8" s="13">
        <f>TRANSICAO!$W$8*CUSTOS!$R$3</f>
        <v>0</v>
      </c>
      <c r="X8" s="13">
        <f>TRANSICAO!$X$8*CUSTOS!$R$3</f>
        <v>0</v>
      </c>
      <c r="Y8" s="13">
        <f>TRANSICAO!$Y$8*CUSTOS!$R$3</f>
        <v>0</v>
      </c>
      <c r="Z8" s="13">
        <f>TRANSICAO!$Z$8*CUSTOS!$R$3</f>
        <v>0</v>
      </c>
      <c r="AA8" s="13">
        <f>TRANSICAO!$AA$8*CUSTOS!$R$3</f>
        <v>0</v>
      </c>
      <c r="AB8" s="13">
        <f>TRANSICAO!$AB$8*CUSTOS!$R$3</f>
        <v>0</v>
      </c>
      <c r="AC8" s="13">
        <f>TRANSICAO!$AC$8*CUSTOS!$R$3</f>
        <v>0</v>
      </c>
      <c r="AD8" s="13">
        <f>TRANSICAO!$AD$8*CUSTOS!$R$3</f>
        <v>0</v>
      </c>
      <c r="AE8" s="13">
        <v>0</v>
      </c>
      <c r="AF8" s="13">
        <v>0</v>
      </c>
      <c r="AG8" s="13"/>
      <c r="AH8" s="13">
        <v>8.9038000000000004</v>
      </c>
      <c r="AI8" s="13">
        <v>8.9038000000000004</v>
      </c>
      <c r="AJ8" s="13">
        <f ca="1">$N$63</f>
        <v>0</v>
      </c>
      <c r="AK8" s="13">
        <f t="shared" ca="1" si="0"/>
        <v>0</v>
      </c>
      <c r="AL8" s="13"/>
      <c r="AM8" s="13"/>
      <c r="AP8" s="13">
        <v>1</v>
      </c>
    </row>
    <row r="9" spans="1:42" ht="11.25" customHeight="1" x14ac:dyDescent="0.3">
      <c r="A9" s="92"/>
      <c r="B9" s="17" t="s">
        <v>77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72</v>
      </c>
      <c r="I9" s="18">
        <f>'MERCADO TUSD'!$U$6</f>
        <v>0</v>
      </c>
      <c r="J9" s="15"/>
      <c r="L9" s="13">
        <v>0</v>
      </c>
      <c r="M9" s="13">
        <v>1.1900000000000001E-2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/>
      <c r="U9" s="13">
        <f>TRANSICAO!$U$9*CUSTOS!$R$4</f>
        <v>0</v>
      </c>
      <c r="V9" s="13">
        <f>TRANSICAO!$V$9*CUSTOS!$R$4</f>
        <v>0</v>
      </c>
      <c r="W9" s="13">
        <f>TRANSICAO!$W$9*CUSTOS!$R$4</f>
        <v>0</v>
      </c>
      <c r="X9" s="13">
        <f>TRANSICAO!$X$9*CUSTOS!$R$4</f>
        <v>0</v>
      </c>
      <c r="Y9" s="13">
        <f>TRANSICAO!$Y$9*CUSTOS!$R$4</f>
        <v>0</v>
      </c>
      <c r="Z9" s="13">
        <f>TRANSICAO!$Z$9*CUSTOS!$R$4</f>
        <v>0</v>
      </c>
      <c r="AA9" s="13">
        <f>TRANSICAO!$AA$9*CUSTOS!$R$4</f>
        <v>0</v>
      </c>
      <c r="AB9" s="13">
        <f>TRANSICAO!$AB$9*CUSTOS!$R$4</f>
        <v>0</v>
      </c>
      <c r="AC9" s="13">
        <f>TRANSICAO!$AC$9*CUSTOS!$R$4</f>
        <v>15.835800000000001</v>
      </c>
      <c r="AD9" s="13">
        <f>TRANSICAO!$AD$9*CUSTOS!$R$4</f>
        <v>0</v>
      </c>
      <c r="AE9" s="13">
        <v>0</v>
      </c>
      <c r="AF9" s="13">
        <v>0</v>
      </c>
      <c r="AG9" s="13"/>
      <c r="AH9" s="13">
        <v>0</v>
      </c>
      <c r="AI9" s="13">
        <v>0</v>
      </c>
      <c r="AJ9" s="13">
        <v>0</v>
      </c>
      <c r="AK9" s="13">
        <f t="shared" si="0"/>
        <v>0</v>
      </c>
      <c r="AL9" s="13"/>
      <c r="AM9" s="13"/>
      <c r="AP9" s="13"/>
    </row>
    <row r="10" spans="1:42" ht="11.25" customHeight="1" x14ac:dyDescent="0.3">
      <c r="A10" s="92"/>
      <c r="B10" s="92" t="s">
        <v>36</v>
      </c>
      <c r="C10" s="92" t="s">
        <v>25</v>
      </c>
      <c r="D10" s="92" t="s">
        <v>25</v>
      </c>
      <c r="E10" s="92" t="s">
        <v>25</v>
      </c>
      <c r="F10" s="92" t="s">
        <v>25</v>
      </c>
      <c r="G10" s="18" t="s">
        <v>9</v>
      </c>
      <c r="H10" s="18" t="s">
        <v>72</v>
      </c>
      <c r="I10" s="18">
        <f>'MERCADO TUSD'!$U$7</f>
        <v>129328</v>
      </c>
      <c r="J10" s="15"/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/>
      <c r="U10" s="13">
        <f>TRANSICAO!$U$10*CUSTOS!$R$3</f>
        <v>0</v>
      </c>
      <c r="V10" s="13">
        <f>TRANSICAO!$V$10*CUSTOS!$R$3</f>
        <v>0</v>
      </c>
      <c r="W10" s="13">
        <f>TRANSICAO!$W$10*CUSTOS!$R$3</f>
        <v>0</v>
      </c>
      <c r="X10" s="13">
        <f>TRANSICAO!$X$10*CUSTOS!$R$3</f>
        <v>0</v>
      </c>
      <c r="Y10" s="13">
        <f>TRANSICAO!$Y$10*CUSTOS!$R$3</f>
        <v>17.913</v>
      </c>
      <c r="Z10" s="13">
        <f>TRANSICAO!$Z$10*CUSTOS!$R$3</f>
        <v>0</v>
      </c>
      <c r="AA10" s="13">
        <f>TRANSICAO!$AA$10*CUSTOS!$R$3</f>
        <v>0</v>
      </c>
      <c r="AB10" s="13">
        <f>TRANSICAO!$AB$10*CUSTOS!$R$3</f>
        <v>0</v>
      </c>
      <c r="AC10" s="13">
        <f>TRANSICAO!$AC$10*CUSTOS!$R$3</f>
        <v>28.3734</v>
      </c>
      <c r="AD10" s="13">
        <f>TRANSICAO!$AD$10*CUSTOS!$R$3</f>
        <v>0</v>
      </c>
      <c r="AE10" s="13">
        <v>0</v>
      </c>
      <c r="AF10" s="13">
        <v>0</v>
      </c>
      <c r="AG10" s="13"/>
      <c r="AH10" s="13">
        <v>0</v>
      </c>
      <c r="AI10" s="13">
        <v>0</v>
      </c>
      <c r="AJ10" s="13">
        <v>0</v>
      </c>
      <c r="AK10" s="13">
        <f t="shared" si="0"/>
        <v>0</v>
      </c>
      <c r="AL10" s="13"/>
      <c r="AM10" s="13"/>
      <c r="AP10" s="13">
        <v>1</v>
      </c>
    </row>
    <row r="11" spans="1:42" ht="11.25" customHeight="1" x14ac:dyDescent="0.3">
      <c r="A11" s="92"/>
      <c r="B11" s="92"/>
      <c r="C11" s="92"/>
      <c r="D11" s="92"/>
      <c r="E11" s="92"/>
      <c r="F11" s="92"/>
      <c r="G11" s="18" t="s">
        <v>70</v>
      </c>
      <c r="H11" s="18" t="s">
        <v>69</v>
      </c>
      <c r="I11" s="18">
        <f>'MERCADO TUSD'!$U$8</f>
        <v>1239.3609999999999</v>
      </c>
      <c r="J11" s="15"/>
      <c r="L11" s="13">
        <f>0.84</f>
        <v>0.84</v>
      </c>
      <c r="M11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0.95551213964193227</v>
      </c>
      <c r="N11" s="13">
        <f ca="1">(+M11+O11+R11+U11+V11+W11+X11+Y11+Z11+AA11+AC11+AH11+AI11+AJ11+AK11)*CUSTOS!$M$5</f>
        <v>3.2615929121396421E-11</v>
      </c>
      <c r="O11" s="13">
        <v>1</v>
      </c>
      <c r="P11" s="13">
        <v>1</v>
      </c>
      <c r="Q11" s="13">
        <f>0.84</f>
        <v>0.84</v>
      </c>
      <c r="R11" s="13">
        <v>1</v>
      </c>
      <c r="S11" s="13">
        <v>1</v>
      </c>
      <c r="T11" s="13"/>
      <c r="U11" s="13">
        <f>TRANSICAO!$U$11*CUSTOS!$R$3</f>
        <v>0</v>
      </c>
      <c r="V11" s="13">
        <f>TRANSICAO!$V$11*CUSTOS!$R$3</f>
        <v>0</v>
      </c>
      <c r="W11" s="13">
        <f>TRANSICAO!$W$11*CUSTOS!$R$3</f>
        <v>0</v>
      </c>
      <c r="X11" s="13">
        <f>TRANSICAO!$X$11*CUSTOS!$R$3</f>
        <v>0</v>
      </c>
      <c r="Y11" s="13">
        <f>TRANSICAO!$Y$11*CUSTOS!$R$3</f>
        <v>747.63900000000001</v>
      </c>
      <c r="Z11" s="13">
        <f>TRANSICAO!$Z$11*CUSTOS!$R$3</f>
        <v>0</v>
      </c>
      <c r="AA11" s="13">
        <f>TRANSICAO!$AA$11*CUSTOS!$R$3</f>
        <v>0</v>
      </c>
      <c r="AB11" s="13">
        <f>TRANSICAO!$AB$11*CUSTOS!$R$3</f>
        <v>0</v>
      </c>
      <c r="AC11" s="13">
        <f>TRANSICAO!$AC$11*CUSTOS!$R$3</f>
        <v>2493.1907999999999</v>
      </c>
      <c r="AD11" s="13">
        <f>TRANSICAO!$AD$11*CUSTOS!$R$3</f>
        <v>0</v>
      </c>
      <c r="AE11" s="13">
        <v>0</v>
      </c>
      <c r="AF11" s="13">
        <v>0</v>
      </c>
      <c r="AG11" s="13"/>
      <c r="AH11" s="13">
        <v>8.9038000000000004</v>
      </c>
      <c r="AI11" s="13">
        <v>8.9038000000000004</v>
      </c>
      <c r="AJ11" s="13">
        <f ca="1">$N$63</f>
        <v>0</v>
      </c>
      <c r="AK11" s="13">
        <f t="shared" ca="1" si="0"/>
        <v>0</v>
      </c>
      <c r="AL11" s="13"/>
      <c r="AM11" s="13"/>
      <c r="AP11" s="13">
        <v>1</v>
      </c>
    </row>
    <row r="12" spans="1:42" ht="11.25" customHeight="1" x14ac:dyDescent="0.3">
      <c r="A12" s="92"/>
      <c r="B12" s="92"/>
      <c r="C12" s="92"/>
      <c r="D12" s="92"/>
      <c r="E12" s="92"/>
      <c r="F12" s="92"/>
      <c r="G12" s="18" t="s">
        <v>71</v>
      </c>
      <c r="H12" s="18" t="s">
        <v>69</v>
      </c>
      <c r="I12" s="18">
        <f>'MERCADO TUSD'!$U$9</f>
        <v>28573.93</v>
      </c>
      <c r="J12" s="15"/>
      <c r="L12" s="13">
        <f>0.84</f>
        <v>0.84</v>
      </c>
      <c r="M12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0.95551213964193227</v>
      </c>
      <c r="N12" s="13">
        <f ca="1">(+M12+O12+R12+U12+V12+W12+X12+Y12+Z12+AA12+AC12+AH12+AI12+AJ12+AK12)*CUSTOS!$M$5</f>
        <v>2.0763112139641933E-13</v>
      </c>
      <c r="O12" s="13">
        <v>1</v>
      </c>
      <c r="P12" s="13">
        <v>1</v>
      </c>
      <c r="Q12" s="13">
        <f>0.84</f>
        <v>0.84</v>
      </c>
      <c r="R12" s="13">
        <v>1</v>
      </c>
      <c r="S12" s="13">
        <v>1</v>
      </c>
      <c r="T12" s="13"/>
      <c r="U12" s="13">
        <f>TRANSICAO!$U$12*CUSTOS!$R$3</f>
        <v>0</v>
      </c>
      <c r="V12" s="13">
        <f>TRANSICAO!$V$12*CUSTOS!$R$3</f>
        <v>0</v>
      </c>
      <c r="W12" s="13">
        <f>TRANSICAO!$W$12*CUSTOS!$R$3</f>
        <v>0</v>
      </c>
      <c r="X12" s="13">
        <f>TRANSICAO!$X$12*CUSTOS!$R$3</f>
        <v>0</v>
      </c>
      <c r="Y12" s="13">
        <f>TRANSICAO!$Y$12*CUSTOS!$R$3</f>
        <v>0</v>
      </c>
      <c r="Z12" s="13">
        <f>TRANSICAO!$Z$12*CUSTOS!$R$3</f>
        <v>0</v>
      </c>
      <c r="AA12" s="13">
        <f>TRANSICAO!$AA$12*CUSTOS!$R$3</f>
        <v>0</v>
      </c>
      <c r="AB12" s="13">
        <f>TRANSICAO!$AB$12*CUSTOS!$R$3</f>
        <v>0</v>
      </c>
      <c r="AC12" s="13">
        <f>TRANSICAO!$AC$12*CUSTOS!$R$3</f>
        <v>0</v>
      </c>
      <c r="AD12" s="13">
        <f>TRANSICAO!$AD$12*CUSTOS!$R$3</f>
        <v>0</v>
      </c>
      <c r="AE12" s="13">
        <v>0</v>
      </c>
      <c r="AF12" s="13">
        <v>0</v>
      </c>
      <c r="AG12" s="13"/>
      <c r="AH12" s="13">
        <v>8.9038000000000004</v>
      </c>
      <c r="AI12" s="13">
        <v>8.9038000000000004</v>
      </c>
      <c r="AJ12" s="13">
        <f ca="1">$N$63</f>
        <v>0</v>
      </c>
      <c r="AK12" s="13">
        <f t="shared" ca="1" si="0"/>
        <v>0</v>
      </c>
      <c r="AL12" s="13"/>
      <c r="AM12" s="13"/>
      <c r="AP12" s="13">
        <v>1</v>
      </c>
    </row>
    <row r="13" spans="1:42" ht="11.25" customHeight="1" x14ac:dyDescent="0.3">
      <c r="A13" s="92"/>
      <c r="B13" s="92"/>
      <c r="C13" s="92"/>
      <c r="D13" s="92"/>
      <c r="E13" s="92" t="s">
        <v>76</v>
      </c>
      <c r="F13" s="92" t="s">
        <v>25</v>
      </c>
      <c r="G13" s="18" t="s">
        <v>70</v>
      </c>
      <c r="H13" s="18" t="s">
        <v>69</v>
      </c>
      <c r="I13" s="18">
        <f>'MERCADO TUSD'!$U$10</f>
        <v>0</v>
      </c>
      <c r="J13" s="15"/>
      <c r="L13" s="13">
        <v>0</v>
      </c>
      <c r="M13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0.95551213964193227</v>
      </c>
      <c r="N13" s="13">
        <f ca="1">(+M13+O13+R13+U13+V13+W13+X13+Y13+Z13+AA13+AC13+AH13+AI13+AJ13+AK13)*CUSTOS!$M$5</f>
        <v>3.2605929121396419E-11</v>
      </c>
      <c r="O13" s="13">
        <v>1</v>
      </c>
      <c r="P13" s="13">
        <v>0</v>
      </c>
      <c r="Q13" s="13">
        <v>0</v>
      </c>
      <c r="R13" s="13">
        <v>0</v>
      </c>
      <c r="S13" s="13">
        <v>0</v>
      </c>
      <c r="T13" s="13"/>
      <c r="U13" s="13">
        <f>TRANSICAO!$U$13*CUSTOS!$R$3</f>
        <v>0</v>
      </c>
      <c r="V13" s="13">
        <f>TRANSICAO!$V$13*CUSTOS!$R$3</f>
        <v>0</v>
      </c>
      <c r="W13" s="13">
        <f>TRANSICAO!$W$13*CUSTOS!$R$3</f>
        <v>0</v>
      </c>
      <c r="X13" s="13">
        <f>TRANSICAO!$X$13*CUSTOS!$R$3</f>
        <v>0</v>
      </c>
      <c r="Y13" s="13">
        <f>TRANSICAO!$Y$13*CUSTOS!$R$3</f>
        <v>747.63900000000001</v>
      </c>
      <c r="Z13" s="13">
        <f>TRANSICAO!$Z$13*CUSTOS!$R$3</f>
        <v>0</v>
      </c>
      <c r="AA13" s="13">
        <f>TRANSICAO!$AA$13*CUSTOS!$R$3</f>
        <v>0</v>
      </c>
      <c r="AB13" s="13">
        <f>TRANSICAO!$AB$13*CUSTOS!$R$3</f>
        <v>0</v>
      </c>
      <c r="AC13" s="13">
        <f>TRANSICAO!$AC$13*CUSTOS!$R$3</f>
        <v>2493.1907999999999</v>
      </c>
      <c r="AD13" s="13">
        <f>TRANSICAO!$AD$13*CUSTOS!$R$3</f>
        <v>0</v>
      </c>
      <c r="AE13" s="13">
        <v>0</v>
      </c>
      <c r="AF13" s="13">
        <v>0</v>
      </c>
      <c r="AG13" s="13"/>
      <c r="AH13" s="13">
        <v>8.9038000000000004</v>
      </c>
      <c r="AI13" s="13">
        <v>8.9038000000000004</v>
      </c>
      <c r="AJ13" s="13">
        <f ca="1">$N$63</f>
        <v>0</v>
      </c>
      <c r="AK13" s="13">
        <f t="shared" ca="1" si="0"/>
        <v>0</v>
      </c>
      <c r="AL13" s="13"/>
      <c r="AM13" s="13"/>
      <c r="AP13" s="13">
        <v>1</v>
      </c>
    </row>
    <row r="14" spans="1:42" ht="11.25" customHeight="1" x14ac:dyDescent="0.3">
      <c r="A14" s="92"/>
      <c r="B14" s="92"/>
      <c r="C14" s="92"/>
      <c r="D14" s="92"/>
      <c r="E14" s="92"/>
      <c r="F14" s="92"/>
      <c r="G14" s="18" t="s">
        <v>71</v>
      </c>
      <c r="H14" s="18" t="s">
        <v>69</v>
      </c>
      <c r="I14" s="18">
        <f>'MERCADO TUSD'!$U$11</f>
        <v>0</v>
      </c>
      <c r="J14" s="15"/>
      <c r="L14" s="13">
        <v>0</v>
      </c>
      <c r="M14" s="13">
        <f>IF(AND((+$I$7+$I$8+$I$11+$I$12+$I$13+$I$14)&lt;&gt;0,SUMPRODUCT($I$5:$I$51,$AC$5:$AC$51,$AP$5:$AP$51)&lt;&gt;0),$M$56*SUMPRODUCT($I$5:$I$14,$AC$5:$AC$14,$AP$5:$AP$14)/SUMPRODUCT($I$5:$I$51,$AC$5:$AC$51,$AP$5:$AP$51)/(+$I$7+$I$8+$I$11+$I$12+$I$13+$I$14),0)</f>
        <v>0.95551213964193227</v>
      </c>
      <c r="N14" s="13">
        <f ca="1">(+M14+O14+R14+U14+V14+W14+X14+Y14+Z14+AA14+AC14+AH14+AI14+AJ14+AK14)*CUSTOS!$M$5</f>
        <v>1.9763112139641932E-13</v>
      </c>
      <c r="O14" s="13">
        <v>1</v>
      </c>
      <c r="P14" s="13">
        <v>0</v>
      </c>
      <c r="Q14" s="13">
        <v>0</v>
      </c>
      <c r="R14" s="13">
        <v>0</v>
      </c>
      <c r="S14" s="13">
        <v>0</v>
      </c>
      <c r="T14" s="13"/>
      <c r="U14" s="13">
        <f>TRANSICAO!$U$14*CUSTOS!$R$3</f>
        <v>0</v>
      </c>
      <c r="V14" s="13">
        <f>TRANSICAO!$V$14*CUSTOS!$R$3</f>
        <v>0</v>
      </c>
      <c r="W14" s="13">
        <f>TRANSICAO!$W$14*CUSTOS!$R$3</f>
        <v>0</v>
      </c>
      <c r="X14" s="13">
        <f>TRANSICAO!$X$14*CUSTOS!$R$3</f>
        <v>0</v>
      </c>
      <c r="Y14" s="13">
        <f>TRANSICAO!$Y$14*CUSTOS!$R$3</f>
        <v>0</v>
      </c>
      <c r="Z14" s="13">
        <f>TRANSICAO!$Z$14*CUSTOS!$R$3</f>
        <v>0</v>
      </c>
      <c r="AA14" s="13">
        <f>TRANSICAO!$AA$14*CUSTOS!$R$3</f>
        <v>0</v>
      </c>
      <c r="AB14" s="13">
        <f>TRANSICAO!$AB$14*CUSTOS!$R$3</f>
        <v>0</v>
      </c>
      <c r="AC14" s="13">
        <f>TRANSICAO!$AC$14*CUSTOS!$R$3</f>
        <v>0</v>
      </c>
      <c r="AD14" s="13">
        <f>TRANSICAO!$AD$14*CUSTOS!$R$3</f>
        <v>0</v>
      </c>
      <c r="AE14" s="13">
        <v>0</v>
      </c>
      <c r="AF14" s="13">
        <v>0</v>
      </c>
      <c r="AG14" s="13"/>
      <c r="AH14" s="13">
        <v>8.9038000000000004</v>
      </c>
      <c r="AI14" s="13">
        <v>8.9038000000000004</v>
      </c>
      <c r="AJ14" s="13">
        <f ca="1">$N$63</f>
        <v>0</v>
      </c>
      <c r="AK14" s="13">
        <f t="shared" ca="1" si="0"/>
        <v>0</v>
      </c>
      <c r="AL14" s="13"/>
      <c r="AM14" s="13"/>
      <c r="AP14" s="13">
        <v>1</v>
      </c>
    </row>
    <row r="15" spans="1:42" ht="11.25" customHeight="1" x14ac:dyDescent="0.3">
      <c r="A15" s="92" t="s">
        <v>78</v>
      </c>
      <c r="B15" s="92" t="s">
        <v>77</v>
      </c>
      <c r="C15" s="92" t="s">
        <v>25</v>
      </c>
      <c r="D15" s="92" t="s">
        <v>25</v>
      </c>
      <c r="E15" s="17" t="s">
        <v>79</v>
      </c>
      <c r="F15" s="17" t="s">
        <v>25</v>
      </c>
      <c r="G15" s="18" t="s">
        <v>9</v>
      </c>
      <c r="H15" s="18" t="s">
        <v>72</v>
      </c>
      <c r="I15" s="18">
        <f>'MERCADO TUSD'!$U$12+0.00000001</f>
        <v>1E-8</v>
      </c>
      <c r="J15" s="15"/>
      <c r="L15" s="13">
        <v>0</v>
      </c>
      <c r="M15" s="13">
        <v>6.7999999999999996E-3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/>
      <c r="U15" s="13">
        <f>TRANSICAO!$U$15*CUSTOS!$T$4</f>
        <v>0</v>
      </c>
      <c r="V15" s="13">
        <f>TRANSICAO!$V$15*CUSTOS!$T$4</f>
        <v>0</v>
      </c>
      <c r="W15" s="13">
        <f>TRANSICAO!$W$15*CUSTOS!$T$4</f>
        <v>0</v>
      </c>
      <c r="X15" s="13">
        <f>TRANSICAO!$X$15*CUSTOS!$T$4</f>
        <v>0</v>
      </c>
      <c r="Y15" s="13">
        <f>TRANSICAO!$Y$15*CUSTOS!$T$4</f>
        <v>0</v>
      </c>
      <c r="Z15" s="13">
        <f>TRANSICAO!$Z$15*CUSTOS!$T$4</f>
        <v>0</v>
      </c>
      <c r="AA15" s="13">
        <f>TRANSICAO!$AA$15*CUSTOS!$T$4</f>
        <v>0</v>
      </c>
      <c r="AB15" s="13">
        <f>TRANSICAO!$AB$15*CUSTOS!$T$4</f>
        <v>0</v>
      </c>
      <c r="AC15" s="13">
        <f>TRANSICAO!$AC$15*CUSTOS!$T$4</f>
        <v>9.0965000000000007</v>
      </c>
      <c r="AD15" s="13">
        <f>TRANSICAO!$AD$15*CUSTOS!$T$4</f>
        <v>0</v>
      </c>
      <c r="AE15" s="13">
        <v>0</v>
      </c>
      <c r="AF15" s="13">
        <v>0</v>
      </c>
      <c r="AG15" s="13"/>
      <c r="AH15" s="13">
        <v>0</v>
      </c>
      <c r="AI15" s="13">
        <v>0</v>
      </c>
      <c r="AJ15" s="13">
        <v>0</v>
      </c>
      <c r="AK15" s="13">
        <f t="shared" si="0"/>
        <v>0</v>
      </c>
      <c r="AL15" s="13"/>
      <c r="AM15" s="13"/>
      <c r="AP15" s="13"/>
    </row>
    <row r="16" spans="1:42" ht="11.25" customHeight="1" x14ac:dyDescent="0.3">
      <c r="A16" s="92"/>
      <c r="B16" s="92"/>
      <c r="C16" s="92"/>
      <c r="D16" s="92"/>
      <c r="E16" s="17" t="s">
        <v>80</v>
      </c>
      <c r="F16" s="17" t="s">
        <v>25</v>
      </c>
      <c r="G16" s="18" t="s">
        <v>9</v>
      </c>
      <c r="H16" s="18" t="s">
        <v>72</v>
      </c>
      <c r="I16" s="18">
        <f>'MERCADO TUSD'!$U$13+0.00000001</f>
        <v>1E-8</v>
      </c>
      <c r="J16" s="15"/>
      <c r="L16" s="13">
        <v>0</v>
      </c>
      <c r="M16" s="13">
        <v>6.7999999999999996E-3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/>
      <c r="U16" s="13">
        <f>TRANSICAO!$U$16*CUSTOS!$T$4</f>
        <v>0</v>
      </c>
      <c r="V16" s="13">
        <f>TRANSICAO!$V$16*CUSTOS!$T$4</f>
        <v>0</v>
      </c>
      <c r="W16" s="13">
        <f>TRANSICAO!$W$16*CUSTOS!$T$4</f>
        <v>0</v>
      </c>
      <c r="X16" s="13">
        <f>TRANSICAO!$X$16*CUSTOS!$T$4</f>
        <v>0</v>
      </c>
      <c r="Y16" s="13">
        <f>TRANSICAO!$Y$16*CUSTOS!$T$4</f>
        <v>0</v>
      </c>
      <c r="Z16" s="13">
        <f>TRANSICAO!$Z$16*CUSTOS!$T$4</f>
        <v>0</v>
      </c>
      <c r="AA16" s="13">
        <f>TRANSICAO!$AA$16*CUSTOS!$T$4</f>
        <v>0</v>
      </c>
      <c r="AB16" s="13">
        <f>TRANSICAO!$AB$16*CUSTOS!$T$4</f>
        <v>0</v>
      </c>
      <c r="AC16" s="13">
        <f>TRANSICAO!$AC$16*CUSTOS!$T$4</f>
        <v>27.075800000000001</v>
      </c>
      <c r="AD16" s="13">
        <f>TRANSICAO!$AD$16*CUSTOS!$T$4</f>
        <v>0</v>
      </c>
      <c r="AE16" s="13">
        <v>0</v>
      </c>
      <c r="AF16" s="13">
        <v>0</v>
      </c>
      <c r="AG16" s="13"/>
      <c r="AH16" s="13">
        <v>0</v>
      </c>
      <c r="AI16" s="13">
        <v>0</v>
      </c>
      <c r="AJ16" s="13">
        <v>0</v>
      </c>
      <c r="AK16" s="13">
        <f t="shared" si="0"/>
        <v>0</v>
      </c>
      <c r="AL16" s="13"/>
      <c r="AM16" s="13"/>
      <c r="AP16" s="13"/>
    </row>
    <row r="17" spans="1:42" ht="11.25" customHeight="1" x14ac:dyDescent="0.3">
      <c r="A17" s="92" t="s">
        <v>22</v>
      </c>
      <c r="B17" s="92" t="s">
        <v>39</v>
      </c>
      <c r="C17" s="92" t="s">
        <v>24</v>
      </c>
      <c r="D17" s="92" t="s">
        <v>24</v>
      </c>
      <c r="E17" s="92" t="s">
        <v>25</v>
      </c>
      <c r="F17" s="92" t="s">
        <v>25</v>
      </c>
      <c r="G17" s="18" t="s">
        <v>70</v>
      </c>
      <c r="H17" s="18" t="s">
        <v>69</v>
      </c>
      <c r="I17" s="18">
        <f>'MERCADO TUSD'!$U$14</f>
        <v>0</v>
      </c>
      <c r="J17" s="15"/>
      <c r="L17" s="13">
        <f>1</f>
        <v>1</v>
      </c>
      <c r="M1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2.1282125343337257</v>
      </c>
      <c r="N17" s="13">
        <f ca="1">(+M17+O17+R17+U17+V17+W17+X17+Y17+Z17+AA17+AC17+AH17+AI17+AJ17+AK17)*CUSTOS!$M$5</f>
        <v>1.705229012534334E-11</v>
      </c>
      <c r="O17" s="13">
        <v>1</v>
      </c>
      <c r="P17" s="13">
        <v>1</v>
      </c>
      <c r="Q17" s="13">
        <f>1</f>
        <v>1</v>
      </c>
      <c r="R17" s="13">
        <v>1</v>
      </c>
      <c r="S17" s="13">
        <v>1</v>
      </c>
      <c r="T17" s="13"/>
      <c r="U17" s="13">
        <f>TRANSICAO!$U$17*CUSTOS!$T$3</f>
        <v>0</v>
      </c>
      <c r="V17" s="13">
        <f>TRANSICAO!$V$17*CUSTOS!$T$3</f>
        <v>0</v>
      </c>
      <c r="W17" s="13">
        <f>TRANSICAO!$W$17*CUSTOS!$T$3</f>
        <v>0</v>
      </c>
      <c r="X17" s="13">
        <f>TRANSICAO!$X$17*CUSTOS!$T$3</f>
        <v>0</v>
      </c>
      <c r="Y17" s="13">
        <f>TRANSICAO!$Y$17*CUSTOS!$T$3</f>
        <v>290.27640000000002</v>
      </c>
      <c r="Z17" s="13">
        <f>TRANSICAO!$Z$17*CUSTOS!$T$3</f>
        <v>0</v>
      </c>
      <c r="AA17" s="13">
        <f>TRANSICAO!$AA$17*CUSTOS!$T$3</f>
        <v>0</v>
      </c>
      <c r="AB17" s="13">
        <f>TRANSICAO!$AB$17*CUSTOS!$T$3</f>
        <v>0</v>
      </c>
      <c r="AC17" s="13">
        <f>TRANSICAO!$AC$17*CUSTOS!$T$3</f>
        <v>1375.2796000000001</v>
      </c>
      <c r="AD17" s="13">
        <f>TRANSICAO!$AD$17*CUSTOS!$T$3</f>
        <v>0</v>
      </c>
      <c r="AE17" s="13">
        <v>0</v>
      </c>
      <c r="AF17" s="13">
        <v>0</v>
      </c>
      <c r="AG17" s="13"/>
      <c r="AH17" s="13">
        <v>17.772400000000001</v>
      </c>
      <c r="AI17" s="13">
        <v>17.772400000000001</v>
      </c>
      <c r="AJ17" s="13">
        <f ca="1">$N$64</f>
        <v>0</v>
      </c>
      <c r="AK17" s="13">
        <f t="shared" ca="1" si="0"/>
        <v>0</v>
      </c>
      <c r="AL17" s="13"/>
      <c r="AM17" s="13"/>
      <c r="AP17" s="13">
        <v>1</v>
      </c>
    </row>
    <row r="18" spans="1:42" ht="11.25" customHeight="1" x14ac:dyDescent="0.3">
      <c r="A18" s="92"/>
      <c r="B18" s="92"/>
      <c r="C18" s="92"/>
      <c r="D18" s="92"/>
      <c r="E18" s="92"/>
      <c r="F18" s="92"/>
      <c r="G18" s="18" t="s">
        <v>81</v>
      </c>
      <c r="H18" s="18" t="s">
        <v>69</v>
      </c>
      <c r="I18" s="18">
        <f>'MERCADO TUSD'!$U$15</f>
        <v>0</v>
      </c>
      <c r="J18" s="15"/>
      <c r="L18" s="13">
        <f>1</f>
        <v>1</v>
      </c>
      <c r="M1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2.1282125343337257</v>
      </c>
      <c r="N18" s="13">
        <f ca="1">(+M18+O18+R18+U18+V18+W18+X18+Y18+Z18+AA18+AC18+AH18+AI18+AJ18+AK18)*CUSTOS!$M$5</f>
        <v>1.0390192125343338E-11</v>
      </c>
      <c r="O18" s="13">
        <v>1</v>
      </c>
      <c r="P18" s="13">
        <v>1</v>
      </c>
      <c r="Q18" s="13">
        <f>1</f>
        <v>1</v>
      </c>
      <c r="R18" s="13">
        <v>1</v>
      </c>
      <c r="S18" s="13">
        <v>1</v>
      </c>
      <c r="T18" s="13"/>
      <c r="U18" s="13">
        <f>TRANSICAO!$U$18*CUSTOS!$T$3</f>
        <v>0</v>
      </c>
      <c r="V18" s="13">
        <f>TRANSICAO!$V$18*CUSTOS!$T$3</f>
        <v>0</v>
      </c>
      <c r="W18" s="13">
        <f>TRANSICAO!$W$18*CUSTOS!$T$3</f>
        <v>0</v>
      </c>
      <c r="X18" s="13">
        <f>TRANSICAO!$X$18*CUSTOS!$T$3</f>
        <v>0</v>
      </c>
      <c r="Y18" s="13">
        <f>TRANSICAO!$Y$18*CUSTOS!$T$3</f>
        <v>174.1781</v>
      </c>
      <c r="Z18" s="13">
        <f>TRANSICAO!$Z$18*CUSTOS!$T$3</f>
        <v>0</v>
      </c>
      <c r="AA18" s="13">
        <f>TRANSICAO!$AA$18*CUSTOS!$T$3</f>
        <v>0</v>
      </c>
      <c r="AB18" s="13">
        <f>TRANSICAO!$AB$18*CUSTOS!$T$3</f>
        <v>0</v>
      </c>
      <c r="AC18" s="13">
        <f>TRANSICAO!$AC$18*CUSTOS!$T$3</f>
        <v>825.16809999999998</v>
      </c>
      <c r="AD18" s="13">
        <f>TRANSICAO!$AD$18*CUSTOS!$T$3</f>
        <v>0</v>
      </c>
      <c r="AE18" s="13">
        <v>0</v>
      </c>
      <c r="AF18" s="13">
        <v>0</v>
      </c>
      <c r="AG18" s="13"/>
      <c r="AH18" s="13">
        <v>17.772400000000001</v>
      </c>
      <c r="AI18" s="13">
        <v>17.772400000000001</v>
      </c>
      <c r="AJ18" s="13">
        <f ca="1">$N$64</f>
        <v>0</v>
      </c>
      <c r="AK18" s="13">
        <f t="shared" ca="1" si="0"/>
        <v>0</v>
      </c>
      <c r="AL18" s="13"/>
      <c r="AM18" s="13"/>
      <c r="AP18" s="13">
        <v>1</v>
      </c>
    </row>
    <row r="19" spans="1:42" ht="11.25" customHeight="1" x14ac:dyDescent="0.3">
      <c r="A19" s="92"/>
      <c r="B19" s="92"/>
      <c r="C19" s="92"/>
      <c r="D19" s="92"/>
      <c r="E19" s="92"/>
      <c r="F19" s="92"/>
      <c r="G19" s="18" t="s">
        <v>71</v>
      </c>
      <c r="H19" s="18" t="s">
        <v>69</v>
      </c>
      <c r="I19" s="18">
        <f>'MERCADO TUSD'!$U$16</f>
        <v>0</v>
      </c>
      <c r="J19" s="15"/>
      <c r="L19" s="13">
        <f>1</f>
        <v>1</v>
      </c>
      <c r="M1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2.1282125343337257</v>
      </c>
      <c r="N19" s="13">
        <f ca="1">(+M19+O19+R19+U19+V19+W19+X19+Y19+Z19+AA19+AC19+AH19+AI19+AJ19+AK19)*CUSTOS!$M$5</f>
        <v>3.728087125343337E-12</v>
      </c>
      <c r="O19" s="13">
        <v>1</v>
      </c>
      <c r="P19" s="13">
        <v>1</v>
      </c>
      <c r="Q19" s="13">
        <f>1</f>
        <v>1</v>
      </c>
      <c r="R19" s="13">
        <v>1</v>
      </c>
      <c r="S19" s="13">
        <v>1</v>
      </c>
      <c r="T19" s="13"/>
      <c r="U19" s="13">
        <f>TRANSICAO!$U$19*CUSTOS!$T$3</f>
        <v>0</v>
      </c>
      <c r="V19" s="13">
        <f>TRANSICAO!$V$19*CUSTOS!$T$3</f>
        <v>0</v>
      </c>
      <c r="W19" s="13">
        <f>TRANSICAO!$W$19*CUSTOS!$T$3</f>
        <v>0</v>
      </c>
      <c r="X19" s="13">
        <f>TRANSICAO!$X$19*CUSTOS!$T$3</f>
        <v>0</v>
      </c>
      <c r="Y19" s="13">
        <f>TRANSICAO!$Y$19*CUSTOS!$T$3</f>
        <v>58.079700000000003</v>
      </c>
      <c r="Z19" s="13">
        <f>TRANSICAO!$Z$19*CUSTOS!$T$3</f>
        <v>0</v>
      </c>
      <c r="AA19" s="13">
        <f>TRANSICAO!$AA$19*CUSTOS!$T$3</f>
        <v>0</v>
      </c>
      <c r="AB19" s="13">
        <f>TRANSICAO!$AB$19*CUSTOS!$T$3</f>
        <v>0</v>
      </c>
      <c r="AC19" s="13">
        <f>TRANSICAO!$AC$19*CUSTOS!$T$3</f>
        <v>275.05599999999998</v>
      </c>
      <c r="AD19" s="13">
        <f>TRANSICAO!$AD$19*CUSTOS!$T$3</f>
        <v>0</v>
      </c>
      <c r="AE19" s="13">
        <v>0</v>
      </c>
      <c r="AF19" s="13">
        <v>0</v>
      </c>
      <c r="AG19" s="13"/>
      <c r="AH19" s="13">
        <v>17.772400000000001</v>
      </c>
      <c r="AI19" s="13">
        <v>17.772400000000001</v>
      </c>
      <c r="AJ19" s="13">
        <f ca="1">$N$64</f>
        <v>0</v>
      </c>
      <c r="AK19" s="13">
        <f t="shared" ca="1" si="0"/>
        <v>0</v>
      </c>
      <c r="AL19" s="13"/>
      <c r="AM19" s="13"/>
      <c r="AP19" s="13">
        <v>1</v>
      </c>
    </row>
    <row r="20" spans="1:42" ht="11.25" customHeight="1" x14ac:dyDescent="0.3">
      <c r="A20" s="92"/>
      <c r="B20" s="92" t="s">
        <v>23</v>
      </c>
      <c r="C20" s="92" t="s">
        <v>24</v>
      </c>
      <c r="D20" s="17" t="s">
        <v>24</v>
      </c>
      <c r="E20" s="17" t="s">
        <v>25</v>
      </c>
      <c r="F20" s="17" t="s">
        <v>25</v>
      </c>
      <c r="G20" s="18" t="s">
        <v>75</v>
      </c>
      <c r="H20" s="18" t="s">
        <v>69</v>
      </c>
      <c r="I20" s="18">
        <f>'MERCADO TUSD'!$U$17</f>
        <v>6626.2160000000003</v>
      </c>
      <c r="J20" s="15"/>
      <c r="L20" s="13">
        <f>1</f>
        <v>1</v>
      </c>
      <c r="M2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2.1282125343337257</v>
      </c>
      <c r="N20" s="13">
        <f ca="1">(+M20+O20+R20+U20+V20+W20+X20+Y20+Z20+AA20+AC20+AH20+AI20+AJ20+AK20)*CUSTOS!$M$5</f>
        <v>6.5657511253433359E-12</v>
      </c>
      <c r="O20" s="13">
        <v>1</v>
      </c>
      <c r="P20" s="13">
        <v>1</v>
      </c>
      <c r="Q20" s="13">
        <f>1</f>
        <v>1</v>
      </c>
      <c r="R20" s="13">
        <v>1</v>
      </c>
      <c r="S20" s="13">
        <v>1</v>
      </c>
      <c r="T20" s="13"/>
      <c r="U20" s="13">
        <f>TRANSICAO!$U$20*CUSTOS!$T$3</f>
        <v>0</v>
      </c>
      <c r="V20" s="13">
        <f>TRANSICAO!$V$20*CUSTOS!$T$3</f>
        <v>0</v>
      </c>
      <c r="W20" s="13">
        <f>TRANSICAO!$W$20*CUSTOS!$T$3</f>
        <v>0</v>
      </c>
      <c r="X20" s="13">
        <f>TRANSICAO!$X$20*CUSTOS!$T$3</f>
        <v>0</v>
      </c>
      <c r="Y20" s="13">
        <f>TRANSICAO!$Y$20*CUSTOS!$T$3</f>
        <v>107.53919999999999</v>
      </c>
      <c r="Z20" s="13">
        <f>TRANSICAO!$Z$20*CUSTOS!$T$3</f>
        <v>0</v>
      </c>
      <c r="AA20" s="13">
        <f>TRANSICAO!$AA$20*CUSTOS!$T$3</f>
        <v>0</v>
      </c>
      <c r="AB20" s="13">
        <f>TRANSICAO!$AB$20*CUSTOS!$T$3</f>
        <v>0</v>
      </c>
      <c r="AC20" s="13">
        <f>TRANSICAO!$AC$20*CUSTOS!$T$3</f>
        <v>509.36290000000002</v>
      </c>
      <c r="AD20" s="13">
        <f>TRANSICAO!$AD$20*CUSTOS!$T$3</f>
        <v>0</v>
      </c>
      <c r="AE20" s="13">
        <v>0</v>
      </c>
      <c r="AF20" s="13">
        <v>0</v>
      </c>
      <c r="AG20" s="13"/>
      <c r="AH20" s="13">
        <v>17.772400000000001</v>
      </c>
      <c r="AI20" s="13">
        <v>17.772400000000001</v>
      </c>
      <c r="AJ20" s="13">
        <f ca="1">$N$64</f>
        <v>0</v>
      </c>
      <c r="AK20" s="13">
        <f t="shared" ca="1" si="0"/>
        <v>0</v>
      </c>
      <c r="AL20" s="13"/>
      <c r="AM20" s="13"/>
      <c r="AP20" s="13">
        <v>1</v>
      </c>
    </row>
    <row r="21" spans="1:42" ht="11.25" customHeight="1" x14ac:dyDescent="0.3">
      <c r="A21" s="92"/>
      <c r="B21" s="92"/>
      <c r="C21" s="92"/>
      <c r="D21" s="17" t="s">
        <v>29</v>
      </c>
      <c r="E21" s="17" t="s">
        <v>25</v>
      </c>
      <c r="F21" s="17" t="s">
        <v>25</v>
      </c>
      <c r="G21" s="18" t="s">
        <v>75</v>
      </c>
      <c r="H21" s="18" t="s">
        <v>69</v>
      </c>
      <c r="I21" s="18">
        <f>'MERCADO TUSD'!$U$18</f>
        <v>56.819999999999993</v>
      </c>
      <c r="J21" s="15"/>
      <c r="L21" s="13">
        <v>0</v>
      </c>
      <c r="M2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2.1282125343337257</v>
      </c>
      <c r="N21" s="13">
        <f ca="1">(+M21+O21+R21+U21+V21+W21+X21+Y21+Z21+AA21+AC21+AH21+AI21+AJ21+AK21)*CUSTOS!$M$5</f>
        <v>6.5557511253433357E-12</v>
      </c>
      <c r="O21" s="13">
        <f>1 - CUSTOS!$M$24</f>
        <v>1</v>
      </c>
      <c r="P21" s="13">
        <v>0</v>
      </c>
      <c r="Q21" s="13">
        <v>0</v>
      </c>
      <c r="R21" s="13">
        <v>0</v>
      </c>
      <c r="S21" s="13">
        <f>1 - CUSTOS!$M$24</f>
        <v>1</v>
      </c>
      <c r="T21" s="13"/>
      <c r="U21" s="13">
        <f>TRANSICAO!$U$21*CUSTOS!$T$3</f>
        <v>0</v>
      </c>
      <c r="V21" s="13">
        <f>TRANSICAO!$V$21*CUSTOS!$T$3</f>
        <v>0</v>
      </c>
      <c r="W21" s="13">
        <f>TRANSICAO!$W$21*CUSTOS!$T$3</f>
        <v>0</v>
      </c>
      <c r="X21" s="13">
        <f>TRANSICAO!$X$21*CUSTOS!$T$3</f>
        <v>0</v>
      </c>
      <c r="Y21" s="13">
        <f>TRANSICAO!$Y$21*CUSTOS!$T$3</f>
        <v>107.53919999999999</v>
      </c>
      <c r="Z21" s="13">
        <f>TRANSICAO!$Z$21*CUSTOS!$T$3</f>
        <v>0</v>
      </c>
      <c r="AA21" s="13">
        <f>TRANSICAO!$AA$21*CUSTOS!$T$3</f>
        <v>0</v>
      </c>
      <c r="AB21" s="13">
        <f>TRANSICAO!$AB$21*CUSTOS!$T$3</f>
        <v>0</v>
      </c>
      <c r="AC21" s="13">
        <f>TRANSICAO!$AC$21*CUSTOS!$T$3</f>
        <v>509.36290000000002</v>
      </c>
      <c r="AD21" s="13">
        <f>TRANSICAO!$AD$21*CUSTOS!$T$3</f>
        <v>0</v>
      </c>
      <c r="AE21" s="13">
        <v>0</v>
      </c>
      <c r="AF21" s="13">
        <v>0</v>
      </c>
      <c r="AG21" s="13"/>
      <c r="AH21" s="13">
        <f>(1 - CUSTOS!$M$24)*17.7724</f>
        <v>17.772400000000001</v>
      </c>
      <c r="AI21" s="13">
        <f>(1 - CUSTOS!$M$24)*17.7724</f>
        <v>17.772400000000001</v>
      </c>
      <c r="AJ21" s="13">
        <f ca="1">$N$64*(1-CUSTOS!$M$24)</f>
        <v>0</v>
      </c>
      <c r="AK21" s="13">
        <f t="shared" ca="1" si="0"/>
        <v>0</v>
      </c>
      <c r="AL21" s="13"/>
      <c r="AM21" s="13"/>
      <c r="AP21" s="13">
        <f>IF((1 - CUSTOS!$M$24)&lt;&gt;0,1/(1 - CUSTOS!$M$24),1)</f>
        <v>1</v>
      </c>
    </row>
    <row r="22" spans="1:42" ht="11.25" customHeight="1" x14ac:dyDescent="0.3">
      <c r="A22" s="92"/>
      <c r="B22" s="92"/>
      <c r="C22" s="92"/>
      <c r="D22" s="17" t="s">
        <v>30</v>
      </c>
      <c r="E22" s="17" t="s">
        <v>25</v>
      </c>
      <c r="F22" s="17" t="s">
        <v>25</v>
      </c>
      <c r="G22" s="18" t="s">
        <v>75</v>
      </c>
      <c r="H22" s="18" t="s">
        <v>69</v>
      </c>
      <c r="I22" s="18">
        <f>'MERCADO TUSD'!$U$19</f>
        <v>114.55999999999999</v>
      </c>
      <c r="J22" s="15"/>
      <c r="L22" s="13">
        <v>0</v>
      </c>
      <c r="M2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2.1282125343337257</v>
      </c>
      <c r="N22" s="13">
        <f ca="1">(+M22+O22+R22+U22+V22+W22+X22+Y22+Z22+AA22+AC22+AH22+AI22+AJ22+AK22)*CUSTOS!$M$5</f>
        <v>6.5557511253433357E-12</v>
      </c>
      <c r="O22" s="13">
        <f>1 - CUSTOS!$M$25</f>
        <v>1</v>
      </c>
      <c r="P22" s="13">
        <v>0</v>
      </c>
      <c r="Q22" s="13">
        <v>0</v>
      </c>
      <c r="R22" s="13">
        <v>0</v>
      </c>
      <c r="S22" s="13">
        <f>1 - CUSTOS!$M$25</f>
        <v>1</v>
      </c>
      <c r="T22" s="13"/>
      <c r="U22" s="13">
        <f>TRANSICAO!$U$22*CUSTOS!$T$3</f>
        <v>0</v>
      </c>
      <c r="V22" s="13">
        <f>TRANSICAO!$V$22*CUSTOS!$T$3</f>
        <v>0</v>
      </c>
      <c r="W22" s="13">
        <f>TRANSICAO!$W$22*CUSTOS!$T$3</f>
        <v>0</v>
      </c>
      <c r="X22" s="13">
        <f>TRANSICAO!$X$22*CUSTOS!$T$3</f>
        <v>0</v>
      </c>
      <c r="Y22" s="13">
        <f>TRANSICAO!$Y$22*CUSTOS!$T$3</f>
        <v>107.53919999999999</v>
      </c>
      <c r="Z22" s="13">
        <f>TRANSICAO!$Z$22*CUSTOS!$T$3</f>
        <v>0</v>
      </c>
      <c r="AA22" s="13">
        <f>TRANSICAO!$AA$22*CUSTOS!$T$3</f>
        <v>0</v>
      </c>
      <c r="AB22" s="13">
        <f>TRANSICAO!$AB$22*CUSTOS!$T$3</f>
        <v>0</v>
      </c>
      <c r="AC22" s="13">
        <f>TRANSICAO!$AC$22*CUSTOS!$T$3</f>
        <v>509.36290000000002</v>
      </c>
      <c r="AD22" s="13">
        <f>TRANSICAO!$AD$22*CUSTOS!$T$3</f>
        <v>0</v>
      </c>
      <c r="AE22" s="13">
        <v>0</v>
      </c>
      <c r="AF22" s="13">
        <v>0</v>
      </c>
      <c r="AG22" s="13"/>
      <c r="AH22" s="13">
        <f>(1 - CUSTOS!$M$25)*17.7724</f>
        <v>17.772400000000001</v>
      </c>
      <c r="AI22" s="13">
        <f>(1 - CUSTOS!$M$25)*17.7724</f>
        <v>17.772400000000001</v>
      </c>
      <c r="AJ22" s="13">
        <f ca="1">$N$64*(1-CUSTOS!$M$25)</f>
        <v>0</v>
      </c>
      <c r="AK22" s="13">
        <f t="shared" ca="1" si="0"/>
        <v>0</v>
      </c>
      <c r="AL22" s="13"/>
      <c r="AM22" s="13"/>
      <c r="AP22" s="13">
        <f>IF((1 - CUSTOS!$M$25)&lt;&gt;0,1/(1 - CUSTOS!$M$25),1)</f>
        <v>1</v>
      </c>
    </row>
    <row r="23" spans="1:42" ht="11.25" customHeight="1" x14ac:dyDescent="0.3">
      <c r="A23" s="92"/>
      <c r="B23" s="92"/>
      <c r="C23" s="92"/>
      <c r="D23" s="17" t="s">
        <v>31</v>
      </c>
      <c r="E23" s="17" t="s">
        <v>25</v>
      </c>
      <c r="F23" s="17" t="s">
        <v>25</v>
      </c>
      <c r="G23" s="18" t="s">
        <v>75</v>
      </c>
      <c r="H23" s="18" t="s">
        <v>69</v>
      </c>
      <c r="I23" s="18">
        <f>'MERCADO TUSD'!$U$20</f>
        <v>116.22800000000001</v>
      </c>
      <c r="J23" s="15"/>
      <c r="L23" s="13">
        <v>0</v>
      </c>
      <c r="M2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2.1282125343337257</v>
      </c>
      <c r="N23" s="13">
        <f ca="1">(+M23+O23+R23+U23+V23+W23+X23+Y23+Z23+AA23+AC23+AH23+AI23+AJ23+AK23)*CUSTOS!$M$5</f>
        <v>6.5557511253433357E-12</v>
      </c>
      <c r="O23" s="13">
        <f>1 - CUSTOS!$M$26</f>
        <v>1</v>
      </c>
      <c r="P23" s="13">
        <v>0</v>
      </c>
      <c r="Q23" s="13">
        <v>0</v>
      </c>
      <c r="R23" s="13">
        <v>0</v>
      </c>
      <c r="S23" s="13">
        <f>1 - CUSTOS!$M$26</f>
        <v>1</v>
      </c>
      <c r="T23" s="13"/>
      <c r="U23" s="13">
        <f>TRANSICAO!$U$23*CUSTOS!$T$3</f>
        <v>0</v>
      </c>
      <c r="V23" s="13">
        <f>TRANSICAO!$V$23*CUSTOS!$T$3</f>
        <v>0</v>
      </c>
      <c r="W23" s="13">
        <f>TRANSICAO!$W$23*CUSTOS!$T$3</f>
        <v>0</v>
      </c>
      <c r="X23" s="13">
        <f>TRANSICAO!$X$23*CUSTOS!$T$3</f>
        <v>0</v>
      </c>
      <c r="Y23" s="13">
        <f>TRANSICAO!$Y$23*CUSTOS!$T$3</f>
        <v>107.53919999999999</v>
      </c>
      <c r="Z23" s="13">
        <f>TRANSICAO!$Z$23*CUSTOS!$T$3</f>
        <v>0</v>
      </c>
      <c r="AA23" s="13">
        <f>TRANSICAO!$AA$23*CUSTOS!$T$3</f>
        <v>0</v>
      </c>
      <c r="AB23" s="13">
        <f>TRANSICAO!$AB$23*CUSTOS!$T$3</f>
        <v>0</v>
      </c>
      <c r="AC23" s="13">
        <f>TRANSICAO!$AC$23*CUSTOS!$T$3</f>
        <v>509.36290000000002</v>
      </c>
      <c r="AD23" s="13">
        <f>TRANSICAO!$AD$23*CUSTOS!$T$3</f>
        <v>0</v>
      </c>
      <c r="AE23" s="13">
        <v>0</v>
      </c>
      <c r="AF23" s="13">
        <v>0</v>
      </c>
      <c r="AG23" s="13"/>
      <c r="AH23" s="13">
        <f>(1 - CUSTOS!$M$26)*17.7724</f>
        <v>17.772400000000001</v>
      </c>
      <c r="AI23" s="13">
        <f>(1 - CUSTOS!$M$26)*17.7724</f>
        <v>17.772400000000001</v>
      </c>
      <c r="AJ23" s="13">
        <f ca="1">$N$64*(1-CUSTOS!$M$26)</f>
        <v>0</v>
      </c>
      <c r="AK23" s="13">
        <f t="shared" ca="1" si="0"/>
        <v>0</v>
      </c>
      <c r="AL23" s="13"/>
      <c r="AM23" s="13"/>
      <c r="AP23" s="13">
        <f>IF((1 - CUSTOS!$M$26)&lt;&gt;0,1/(1 - CUSTOS!$M$26),1)</f>
        <v>1</v>
      </c>
    </row>
    <row r="24" spans="1:42" ht="11.25" customHeight="1" x14ac:dyDescent="0.3">
      <c r="A24" s="92"/>
      <c r="B24" s="92"/>
      <c r="C24" s="92"/>
      <c r="D24" s="17" t="s">
        <v>32</v>
      </c>
      <c r="E24" s="17" t="s">
        <v>25</v>
      </c>
      <c r="F24" s="17" t="s">
        <v>25</v>
      </c>
      <c r="G24" s="18" t="s">
        <v>75</v>
      </c>
      <c r="H24" s="18" t="s">
        <v>69</v>
      </c>
      <c r="I24" s="18">
        <f>'MERCADO TUSD'!$U$21</f>
        <v>45.311999999999998</v>
      </c>
      <c r="J24" s="15"/>
      <c r="L24" s="13">
        <v>0</v>
      </c>
      <c r="M2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2.1282125343337257</v>
      </c>
      <c r="N24" s="13">
        <f ca="1">(+M24+O24+R24+U24+V24+W24+X24+Y24+Z24+AA24+AC24+AH24+AI24+AJ24+AK24)*CUSTOS!$M$5</f>
        <v>6.5557511253433357E-12</v>
      </c>
      <c r="O24" s="13">
        <f>1 - CUSTOS!$M$27</f>
        <v>1</v>
      </c>
      <c r="P24" s="13">
        <v>0</v>
      </c>
      <c r="Q24" s="13">
        <v>0</v>
      </c>
      <c r="R24" s="13">
        <v>0</v>
      </c>
      <c r="S24" s="13">
        <f>1 - CUSTOS!$M$27</f>
        <v>1</v>
      </c>
      <c r="T24" s="13"/>
      <c r="U24" s="13">
        <f>TRANSICAO!$U$24*CUSTOS!$T$3</f>
        <v>0</v>
      </c>
      <c r="V24" s="13">
        <f>TRANSICAO!$V$24*CUSTOS!$T$3</f>
        <v>0</v>
      </c>
      <c r="W24" s="13">
        <f>TRANSICAO!$W$24*CUSTOS!$T$3</f>
        <v>0</v>
      </c>
      <c r="X24" s="13">
        <f>TRANSICAO!$X$24*CUSTOS!$T$3</f>
        <v>0</v>
      </c>
      <c r="Y24" s="13">
        <f>TRANSICAO!$Y$24*CUSTOS!$T$3</f>
        <v>107.53919999999999</v>
      </c>
      <c r="Z24" s="13">
        <f>TRANSICAO!$Z$24*CUSTOS!$T$3</f>
        <v>0</v>
      </c>
      <c r="AA24" s="13">
        <f>TRANSICAO!$AA$24*CUSTOS!$T$3</f>
        <v>0</v>
      </c>
      <c r="AB24" s="13">
        <f>TRANSICAO!$AB$24*CUSTOS!$T$3</f>
        <v>0</v>
      </c>
      <c r="AC24" s="13">
        <f>TRANSICAO!$AC$24*CUSTOS!$T$3</f>
        <v>509.36290000000002</v>
      </c>
      <c r="AD24" s="13">
        <f>TRANSICAO!$AD$24*CUSTOS!$T$3</f>
        <v>0</v>
      </c>
      <c r="AE24" s="13">
        <v>0</v>
      </c>
      <c r="AF24" s="13">
        <v>0</v>
      </c>
      <c r="AG24" s="13"/>
      <c r="AH24" s="13">
        <f>(1 - CUSTOS!$M$27)*17.7724</f>
        <v>17.772400000000001</v>
      </c>
      <c r="AI24" s="13">
        <f>(1 - CUSTOS!$M$27)*17.7724</f>
        <v>17.772400000000001</v>
      </c>
      <c r="AJ24" s="13">
        <f ca="1">$N$64*(1-CUSTOS!$M$27)</f>
        <v>0</v>
      </c>
      <c r="AK24" s="13">
        <f t="shared" ca="1" si="0"/>
        <v>0</v>
      </c>
      <c r="AL24" s="13"/>
      <c r="AM24" s="13"/>
      <c r="AP24" s="13">
        <f>IF((1 - CUSTOS!$M$27)&lt;&gt;0,1/(1 - CUSTOS!$M$27),1)</f>
        <v>1</v>
      </c>
    </row>
    <row r="25" spans="1:42" ht="11.25" customHeight="1" x14ac:dyDescent="0.3">
      <c r="A25" s="92"/>
      <c r="B25" s="92" t="s">
        <v>84</v>
      </c>
      <c r="C25" s="92" t="s">
        <v>24</v>
      </c>
      <c r="D25" s="17" t="s">
        <v>24</v>
      </c>
      <c r="E25" s="17" t="s">
        <v>25</v>
      </c>
      <c r="F25" s="17" t="s">
        <v>25</v>
      </c>
      <c r="G25" s="18" t="s">
        <v>75</v>
      </c>
      <c r="H25" s="18" t="s">
        <v>69</v>
      </c>
      <c r="I25" s="18">
        <f>'MERCADO TUSD'!$U$22</f>
        <v>0</v>
      </c>
      <c r="J25" s="15"/>
      <c r="L25" s="13">
        <f>1</f>
        <v>1</v>
      </c>
      <c r="M2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</f>
        <v>2.1282125343337257</v>
      </c>
      <c r="N25" s="13">
        <f ca="1">(+M25+O25+R25+U25+V25+W25+X25+Y25+Z25+AA25+AC25+AH25+AI25+AJ25+AK25)*CUSTOS!$M$5</f>
        <v>6.5657511253433359E-12</v>
      </c>
      <c r="O25" s="13">
        <v>1</v>
      </c>
      <c r="P25" s="13">
        <v>1</v>
      </c>
      <c r="Q25" s="13">
        <f>1</f>
        <v>1</v>
      </c>
      <c r="R25" s="13">
        <v>1</v>
      </c>
      <c r="S25" s="13">
        <v>1</v>
      </c>
      <c r="T25" s="13"/>
      <c r="U25" s="13">
        <f>TRANSICAO!$U$25*CUSTOS!$T$3</f>
        <v>0</v>
      </c>
      <c r="V25" s="13">
        <f>TRANSICAO!$V$25*CUSTOS!$T$3</f>
        <v>0</v>
      </c>
      <c r="W25" s="13">
        <f>TRANSICAO!$W$25*CUSTOS!$T$3</f>
        <v>0</v>
      </c>
      <c r="X25" s="13">
        <f>TRANSICAO!$X$25*CUSTOS!$T$3</f>
        <v>0</v>
      </c>
      <c r="Y25" s="13">
        <f>TRANSICAO!$Y$25*CUSTOS!$T$3</f>
        <v>107.53919999999999</v>
      </c>
      <c r="Z25" s="13">
        <f>TRANSICAO!$Z$25*CUSTOS!$T$3</f>
        <v>0</v>
      </c>
      <c r="AA25" s="13">
        <f>TRANSICAO!$AA$25*CUSTOS!$T$3</f>
        <v>0</v>
      </c>
      <c r="AB25" s="13">
        <f>TRANSICAO!$AB$25*CUSTOS!$T$3</f>
        <v>0</v>
      </c>
      <c r="AC25" s="13">
        <f>TRANSICAO!$AC$25*CUSTOS!$T$3</f>
        <v>509.36290000000002</v>
      </c>
      <c r="AD25" s="13">
        <f>TRANSICAO!$AD$25*CUSTOS!$T$3</f>
        <v>0</v>
      </c>
      <c r="AE25" s="13">
        <v>0</v>
      </c>
      <c r="AF25" s="13">
        <v>0</v>
      </c>
      <c r="AG25" s="13"/>
      <c r="AH25" s="13">
        <v>17.772400000000001</v>
      </c>
      <c r="AI25" s="13">
        <v>17.772400000000001</v>
      </c>
      <c r="AJ25" s="13">
        <f ca="1">$N$64</f>
        <v>0</v>
      </c>
      <c r="AK25" s="13">
        <f t="shared" ca="1" si="0"/>
        <v>0</v>
      </c>
      <c r="AL25" s="13"/>
      <c r="AM25" s="13"/>
      <c r="AP25" s="13">
        <v>1</v>
      </c>
    </row>
    <row r="26" spans="1:42" ht="11.25" customHeight="1" x14ac:dyDescent="0.3">
      <c r="A26" s="92"/>
      <c r="B26" s="92"/>
      <c r="C26" s="92"/>
      <c r="D26" s="17" t="s">
        <v>29</v>
      </c>
      <c r="E26" s="17" t="s">
        <v>25</v>
      </c>
      <c r="F26" s="17" t="s">
        <v>25</v>
      </c>
      <c r="G26" s="18" t="s">
        <v>75</v>
      </c>
      <c r="H26" s="18" t="s">
        <v>69</v>
      </c>
      <c r="I26" s="18">
        <f>'MERCADO TUSD'!$U$23</f>
        <v>0</v>
      </c>
      <c r="J26" s="15"/>
      <c r="L26" s="13">
        <v>0</v>
      </c>
      <c r="M2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CUSTOS!$M$24)</f>
        <v>2.1282125343337257</v>
      </c>
      <c r="N26" s="13">
        <f ca="1">(+M26+O26+R26+U26+V26+W26+X26+Y26+Z26+AA26+AC26+AH26+AI26+AJ26+AK26)*CUSTOS!$M$5</f>
        <v>6.5557511253433357E-12</v>
      </c>
      <c r="O26" s="13">
        <f>1 - CUSTOS!$M$24</f>
        <v>1</v>
      </c>
      <c r="P26" s="13">
        <v>0</v>
      </c>
      <c r="Q26" s="13">
        <v>0</v>
      </c>
      <c r="R26" s="13">
        <v>0</v>
      </c>
      <c r="S26" s="13">
        <f>1 - CUSTOS!$M$24</f>
        <v>1</v>
      </c>
      <c r="T26" s="13"/>
      <c r="U26" s="13">
        <f>TRANSICAO!$U$26*CUSTOS!$T$3</f>
        <v>0</v>
      </c>
      <c r="V26" s="13">
        <f>TRANSICAO!$V$26*CUSTOS!$T$3</f>
        <v>0</v>
      </c>
      <c r="W26" s="13">
        <f>TRANSICAO!$W$26*CUSTOS!$T$3</f>
        <v>0</v>
      </c>
      <c r="X26" s="13">
        <f>TRANSICAO!$X$26*CUSTOS!$T$3</f>
        <v>0</v>
      </c>
      <c r="Y26" s="13">
        <f>TRANSICAO!$Y$26*CUSTOS!$T$3</f>
        <v>107.53919999999999</v>
      </c>
      <c r="Z26" s="13">
        <f>TRANSICAO!$Z$26*CUSTOS!$T$3</f>
        <v>0</v>
      </c>
      <c r="AA26" s="13">
        <f>TRANSICAO!$AA$26*CUSTOS!$T$3</f>
        <v>0</v>
      </c>
      <c r="AB26" s="13">
        <f>TRANSICAO!$AB$26*CUSTOS!$T$3</f>
        <v>0</v>
      </c>
      <c r="AC26" s="13">
        <f>TRANSICAO!$AC$26*CUSTOS!$T$3</f>
        <v>509.36290000000002</v>
      </c>
      <c r="AD26" s="13">
        <f>TRANSICAO!$AD$26*CUSTOS!$T$3</f>
        <v>0</v>
      </c>
      <c r="AE26" s="13">
        <v>0</v>
      </c>
      <c r="AF26" s="13">
        <v>0</v>
      </c>
      <c r="AG26" s="13"/>
      <c r="AH26" s="13">
        <f>(1 - CUSTOS!$M$24)*17.7724</f>
        <v>17.772400000000001</v>
      </c>
      <c r="AI26" s="13">
        <f>(1 - CUSTOS!$M$24)*17.7724</f>
        <v>17.772400000000001</v>
      </c>
      <c r="AJ26" s="13">
        <f ca="1">$N$64*(1-CUSTOS!$M$24)</f>
        <v>0</v>
      </c>
      <c r="AK26" s="13">
        <f t="shared" ca="1" si="0"/>
        <v>0</v>
      </c>
      <c r="AL26" s="13"/>
      <c r="AM26" s="13"/>
      <c r="AP26" s="13">
        <f>IF((1 - CUSTOS!$M$24)&lt;&gt;0,1/(1 - CUSTOS!$M$24),1)</f>
        <v>1</v>
      </c>
    </row>
    <row r="27" spans="1:42" ht="11.25" customHeight="1" x14ac:dyDescent="0.3">
      <c r="A27" s="92"/>
      <c r="B27" s="92"/>
      <c r="C27" s="92"/>
      <c r="D27" s="17" t="s">
        <v>30</v>
      </c>
      <c r="E27" s="17" t="s">
        <v>25</v>
      </c>
      <c r="F27" s="17" t="s">
        <v>25</v>
      </c>
      <c r="G27" s="18" t="s">
        <v>75</v>
      </c>
      <c r="H27" s="18" t="s">
        <v>69</v>
      </c>
      <c r="I27" s="18">
        <f>'MERCADO TUSD'!$U$24</f>
        <v>0</v>
      </c>
      <c r="J27" s="15"/>
      <c r="L27" s="13">
        <v>0</v>
      </c>
      <c r="M2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CUSTOS!$M$25)</f>
        <v>2.1282125343337257</v>
      </c>
      <c r="N27" s="13">
        <f ca="1">(+M27+O27+R27+U27+V27+W27+X27+Y27+Z27+AA27+AC27+AH27+AI27+AJ27+AK27)*CUSTOS!$M$5</f>
        <v>6.5557511253433357E-12</v>
      </c>
      <c r="O27" s="13">
        <f>1 - CUSTOS!$M$25</f>
        <v>1</v>
      </c>
      <c r="P27" s="13">
        <v>0</v>
      </c>
      <c r="Q27" s="13">
        <v>0</v>
      </c>
      <c r="R27" s="13">
        <v>0</v>
      </c>
      <c r="S27" s="13">
        <f>1 - CUSTOS!$M$25</f>
        <v>1</v>
      </c>
      <c r="T27" s="13"/>
      <c r="U27" s="13">
        <f>TRANSICAO!$U$27*CUSTOS!$T$3</f>
        <v>0</v>
      </c>
      <c r="V27" s="13">
        <f>TRANSICAO!$V$27*CUSTOS!$T$3</f>
        <v>0</v>
      </c>
      <c r="W27" s="13">
        <f>TRANSICAO!$W$27*CUSTOS!$T$3</f>
        <v>0</v>
      </c>
      <c r="X27" s="13">
        <f>TRANSICAO!$X$27*CUSTOS!$T$3</f>
        <v>0</v>
      </c>
      <c r="Y27" s="13">
        <f>TRANSICAO!$Y$27*CUSTOS!$T$3</f>
        <v>107.53919999999999</v>
      </c>
      <c r="Z27" s="13">
        <f>TRANSICAO!$Z$27*CUSTOS!$T$3</f>
        <v>0</v>
      </c>
      <c r="AA27" s="13">
        <f>TRANSICAO!$AA$27*CUSTOS!$T$3</f>
        <v>0</v>
      </c>
      <c r="AB27" s="13">
        <f>TRANSICAO!$AB$27*CUSTOS!$T$3</f>
        <v>0</v>
      </c>
      <c r="AC27" s="13">
        <f>TRANSICAO!$AC$27*CUSTOS!$T$3</f>
        <v>509.36290000000002</v>
      </c>
      <c r="AD27" s="13">
        <f>TRANSICAO!$AD$27*CUSTOS!$T$3</f>
        <v>0</v>
      </c>
      <c r="AE27" s="13">
        <v>0</v>
      </c>
      <c r="AF27" s="13">
        <v>0</v>
      </c>
      <c r="AG27" s="13"/>
      <c r="AH27" s="13">
        <f>(1 - CUSTOS!$M$25)*17.7724</f>
        <v>17.772400000000001</v>
      </c>
      <c r="AI27" s="13">
        <f>(1 - CUSTOS!$M$25)*17.7724</f>
        <v>17.772400000000001</v>
      </c>
      <c r="AJ27" s="13">
        <f ca="1">$N$64*(1-CUSTOS!$M$25)</f>
        <v>0</v>
      </c>
      <c r="AK27" s="13">
        <f t="shared" ca="1" si="0"/>
        <v>0</v>
      </c>
      <c r="AL27" s="13"/>
      <c r="AM27" s="13"/>
      <c r="AP27" s="13">
        <f>IF((1 - CUSTOS!$M$25)&lt;&gt;0,1/(1 - CUSTOS!$M$25),1)</f>
        <v>1</v>
      </c>
    </row>
    <row r="28" spans="1:42" ht="11.25" customHeight="1" x14ac:dyDescent="0.3">
      <c r="A28" s="92"/>
      <c r="B28" s="92"/>
      <c r="C28" s="92"/>
      <c r="D28" s="17" t="s">
        <v>31</v>
      </c>
      <c r="E28" s="17" t="s">
        <v>25</v>
      </c>
      <c r="F28" s="17" t="s">
        <v>25</v>
      </c>
      <c r="G28" s="18" t="s">
        <v>75</v>
      </c>
      <c r="H28" s="18" t="s">
        <v>69</v>
      </c>
      <c r="I28" s="18">
        <f>'MERCADO TUSD'!$U$25</f>
        <v>0</v>
      </c>
      <c r="J28" s="15"/>
      <c r="L28" s="13">
        <v>0</v>
      </c>
      <c r="M2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CUSTOS!$M$26)</f>
        <v>2.1282125343337257</v>
      </c>
      <c r="N28" s="13">
        <f ca="1">(+M28+O28+R28+U28+V28+W28+X28+Y28+Z28+AA28+AC28+AH28+AI28+AJ28+AK28)*CUSTOS!$M$5</f>
        <v>6.5557511253433357E-12</v>
      </c>
      <c r="O28" s="13">
        <f>1 - CUSTOS!$M$26</f>
        <v>1</v>
      </c>
      <c r="P28" s="13">
        <v>0</v>
      </c>
      <c r="Q28" s="13">
        <v>0</v>
      </c>
      <c r="R28" s="13">
        <v>0</v>
      </c>
      <c r="S28" s="13">
        <f>1 - CUSTOS!$M$26</f>
        <v>1</v>
      </c>
      <c r="T28" s="13"/>
      <c r="U28" s="13">
        <f>TRANSICAO!$U$28*CUSTOS!$T$3</f>
        <v>0</v>
      </c>
      <c r="V28" s="13">
        <f>TRANSICAO!$V$28*CUSTOS!$T$3</f>
        <v>0</v>
      </c>
      <c r="W28" s="13">
        <f>TRANSICAO!$W$28*CUSTOS!$T$3</f>
        <v>0</v>
      </c>
      <c r="X28" s="13">
        <f>TRANSICAO!$X$28*CUSTOS!$T$3</f>
        <v>0</v>
      </c>
      <c r="Y28" s="13">
        <f>TRANSICAO!$Y$28*CUSTOS!$T$3</f>
        <v>107.53919999999999</v>
      </c>
      <c r="Z28" s="13">
        <f>TRANSICAO!$Z$28*CUSTOS!$T$3</f>
        <v>0</v>
      </c>
      <c r="AA28" s="13">
        <f>TRANSICAO!$AA$28*CUSTOS!$T$3</f>
        <v>0</v>
      </c>
      <c r="AB28" s="13">
        <f>TRANSICAO!$AB$28*CUSTOS!$T$3</f>
        <v>0</v>
      </c>
      <c r="AC28" s="13">
        <f>TRANSICAO!$AC$28*CUSTOS!$T$3</f>
        <v>509.36290000000002</v>
      </c>
      <c r="AD28" s="13">
        <f>TRANSICAO!$AD$28*CUSTOS!$T$3</f>
        <v>0</v>
      </c>
      <c r="AE28" s="13">
        <v>0</v>
      </c>
      <c r="AF28" s="13">
        <v>0</v>
      </c>
      <c r="AG28" s="13"/>
      <c r="AH28" s="13">
        <f>(1 - CUSTOS!$M$26)*17.7724</f>
        <v>17.772400000000001</v>
      </c>
      <c r="AI28" s="13">
        <f>(1 - CUSTOS!$M$26)*17.7724</f>
        <v>17.772400000000001</v>
      </c>
      <c r="AJ28" s="13">
        <f ca="1">$N$64*(1-CUSTOS!$M$26)</f>
        <v>0</v>
      </c>
      <c r="AK28" s="13">
        <f t="shared" ca="1" si="0"/>
        <v>0</v>
      </c>
      <c r="AL28" s="13"/>
      <c r="AM28" s="13"/>
      <c r="AP28" s="13">
        <f>IF((1 - CUSTOS!$M$26)&lt;&gt;0,1/(1 - CUSTOS!$M$26),1)</f>
        <v>1</v>
      </c>
    </row>
    <row r="29" spans="1:42" ht="11.25" customHeight="1" x14ac:dyDescent="0.3">
      <c r="A29" s="92"/>
      <c r="B29" s="92"/>
      <c r="C29" s="92"/>
      <c r="D29" s="17" t="s">
        <v>32</v>
      </c>
      <c r="E29" s="17" t="s">
        <v>25</v>
      </c>
      <c r="F29" s="17" t="s">
        <v>25</v>
      </c>
      <c r="G29" s="18" t="s">
        <v>75</v>
      </c>
      <c r="H29" s="18" t="s">
        <v>69</v>
      </c>
      <c r="I29" s="18">
        <f>'MERCADO TUSD'!$U$26</f>
        <v>0</v>
      </c>
      <c r="J29" s="15"/>
      <c r="L29" s="13">
        <v>0</v>
      </c>
      <c r="M2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CUSTOS!$M$27)</f>
        <v>2.1282125343337257</v>
      </c>
      <c r="N29" s="13">
        <f ca="1">(+M29+O29+R29+U29+V29+W29+X29+Y29+Z29+AA29+AC29+AH29+AI29+AJ29+AK29)*CUSTOS!$M$5</f>
        <v>6.5557511253433357E-12</v>
      </c>
      <c r="O29" s="13">
        <f>1 - CUSTOS!$M$27</f>
        <v>1</v>
      </c>
      <c r="P29" s="13">
        <v>0</v>
      </c>
      <c r="Q29" s="13">
        <v>0</v>
      </c>
      <c r="R29" s="13">
        <v>0</v>
      </c>
      <c r="S29" s="13">
        <f>1 - CUSTOS!$M$27</f>
        <v>1</v>
      </c>
      <c r="T29" s="13"/>
      <c r="U29" s="13">
        <f>TRANSICAO!$U$29*CUSTOS!$T$3</f>
        <v>0</v>
      </c>
      <c r="V29" s="13">
        <f>TRANSICAO!$V$29*CUSTOS!$T$3</f>
        <v>0</v>
      </c>
      <c r="W29" s="13">
        <f>TRANSICAO!$W$29*CUSTOS!$T$3</f>
        <v>0</v>
      </c>
      <c r="X29" s="13">
        <f>TRANSICAO!$X$29*CUSTOS!$T$3</f>
        <v>0</v>
      </c>
      <c r="Y29" s="13">
        <f>TRANSICAO!$Y$29*CUSTOS!$T$3</f>
        <v>107.53919999999999</v>
      </c>
      <c r="Z29" s="13">
        <f>TRANSICAO!$Z$29*CUSTOS!$T$3</f>
        <v>0</v>
      </c>
      <c r="AA29" s="13">
        <f>TRANSICAO!$AA$29*CUSTOS!$T$3</f>
        <v>0</v>
      </c>
      <c r="AB29" s="13">
        <f>TRANSICAO!$AB$29*CUSTOS!$T$3</f>
        <v>0</v>
      </c>
      <c r="AC29" s="13">
        <f>TRANSICAO!$AC$29*CUSTOS!$T$3</f>
        <v>509.36290000000002</v>
      </c>
      <c r="AD29" s="13">
        <f>TRANSICAO!$AD$29*CUSTOS!$T$3</f>
        <v>0</v>
      </c>
      <c r="AE29" s="13">
        <v>0</v>
      </c>
      <c r="AF29" s="13">
        <v>0</v>
      </c>
      <c r="AG29" s="13"/>
      <c r="AH29" s="13">
        <f>(1 - CUSTOS!$M$27)*17.7724</f>
        <v>17.772400000000001</v>
      </c>
      <c r="AI29" s="13">
        <f>(1 - CUSTOS!$M$27)*17.7724</f>
        <v>17.772400000000001</v>
      </c>
      <c r="AJ29" s="13">
        <f ca="1">$N$64*(1-CUSTOS!$M$27)</f>
        <v>0</v>
      </c>
      <c r="AK29" s="13">
        <f t="shared" ca="1" si="0"/>
        <v>0</v>
      </c>
      <c r="AL29" s="13"/>
      <c r="AM29" s="13"/>
      <c r="AP29" s="13">
        <f>IF((1 - CUSTOS!$M$27)&lt;&gt;0,1/(1 - CUSTOS!$M$27),1)</f>
        <v>1</v>
      </c>
    </row>
    <row r="30" spans="1:42" ht="11.25" customHeight="1" x14ac:dyDescent="0.3">
      <c r="A30" s="92" t="s">
        <v>42</v>
      </c>
      <c r="B30" s="92" t="s">
        <v>39</v>
      </c>
      <c r="C30" s="92" t="s">
        <v>43</v>
      </c>
      <c r="D30" s="92" t="s">
        <v>25</v>
      </c>
      <c r="E30" s="92" t="s">
        <v>25</v>
      </c>
      <c r="F30" s="92" t="s">
        <v>25</v>
      </c>
      <c r="G30" s="18" t="s">
        <v>70</v>
      </c>
      <c r="H30" s="18" t="s">
        <v>69</v>
      </c>
      <c r="I30" s="18">
        <f>'MERCADO TUSD'!$U$27</f>
        <v>0</v>
      </c>
      <c r="J30" s="15"/>
      <c r="L30" s="13">
        <f>1*(1 - CUSTOS!$M$28)</f>
        <v>1</v>
      </c>
      <c r="M3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2.1282125343337257</v>
      </c>
      <c r="N30" s="13">
        <f ca="1">(+M30+O30+R30+U30+V30+W30+X30+Y30+Z30+AA30+AC30+AH30+AI30+AJ30+AK30)*CUSTOS!$M$5</f>
        <v>1.8594700125343337E-11</v>
      </c>
      <c r="O30" s="13">
        <f>1 - CUSTOS!$M$28</f>
        <v>1</v>
      </c>
      <c r="P30" s="13">
        <f>1 - CUSTOS!$M$28</f>
        <v>1</v>
      </c>
      <c r="Q30" s="13">
        <f>1*(1 - CUSTOS!$M$28)</f>
        <v>1</v>
      </c>
      <c r="R30" s="13">
        <f>1 - CUSTOS!$M$28</f>
        <v>1</v>
      </c>
      <c r="S30" s="13">
        <f>1 - CUSTOS!$M$28</f>
        <v>1</v>
      </c>
      <c r="T30" s="13"/>
      <c r="U30" s="13">
        <f>TRANSICAO!$U$30*CUSTOS!$T$3</f>
        <v>0</v>
      </c>
      <c r="V30" s="13">
        <f>TRANSICAO!$V$30*CUSTOS!$T$3</f>
        <v>0</v>
      </c>
      <c r="W30" s="13">
        <f>TRANSICAO!$W$30*CUSTOS!$T$3</f>
        <v>0</v>
      </c>
      <c r="X30" s="13">
        <f>TRANSICAO!$X$30*CUSTOS!$T$3</f>
        <v>0</v>
      </c>
      <c r="Y30" s="13">
        <f>TRANSICAO!$Y$30*CUSTOS!$T$3</f>
        <v>317.17649999999998</v>
      </c>
      <c r="Z30" s="13">
        <f>TRANSICAO!$Z$30*CUSTOS!$T$3</f>
        <v>0</v>
      </c>
      <c r="AA30" s="13">
        <f>TRANSICAO!$AA$30*CUSTOS!$T$3</f>
        <v>0</v>
      </c>
      <c r="AB30" s="13">
        <f>TRANSICAO!$AB$30*CUSTOS!$T$3</f>
        <v>0</v>
      </c>
      <c r="AC30" s="13">
        <f>TRANSICAO!$AC$30*CUSTOS!$T$3</f>
        <v>1502.6205</v>
      </c>
      <c r="AD30" s="13">
        <f>TRANSICAO!$AD$30*CUSTOS!$T$3</f>
        <v>0</v>
      </c>
      <c r="AE30" s="13">
        <v>0</v>
      </c>
      <c r="AF30" s="13">
        <v>0</v>
      </c>
      <c r="AG30" s="13"/>
      <c r="AH30" s="13">
        <f>(1 - CUSTOS!$M$28)*17.7724</f>
        <v>17.772400000000001</v>
      </c>
      <c r="AI30" s="13">
        <f>(1 - CUSTOS!$M$28)*17.7724</f>
        <v>17.772400000000001</v>
      </c>
      <c r="AJ30" s="13">
        <f ca="1">$N$64*(1-CUSTOS!$M$28)</f>
        <v>0</v>
      </c>
      <c r="AK30" s="13">
        <f t="shared" ca="1" si="0"/>
        <v>0</v>
      </c>
      <c r="AL30" s="13"/>
      <c r="AM30" s="13"/>
      <c r="AP30" s="13">
        <f>IF((1 - CUSTOS!$M$28)&lt;&gt;0,1/(1 - CUSTOS!$M$28),1)</f>
        <v>1</v>
      </c>
    </row>
    <row r="31" spans="1:42" ht="11.25" customHeight="1" x14ac:dyDescent="0.3">
      <c r="A31" s="92"/>
      <c r="B31" s="92"/>
      <c r="C31" s="92"/>
      <c r="D31" s="92"/>
      <c r="E31" s="92"/>
      <c r="F31" s="92"/>
      <c r="G31" s="18" t="s">
        <v>81</v>
      </c>
      <c r="H31" s="18" t="s">
        <v>69</v>
      </c>
      <c r="I31" s="18">
        <f>'MERCADO TUSD'!$U$28</f>
        <v>0</v>
      </c>
      <c r="J31" s="15"/>
      <c r="L31" s="13">
        <f>1*(1 - CUSTOS!$M$28)</f>
        <v>1</v>
      </c>
      <c r="M3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2.1282125343337257</v>
      </c>
      <c r="N31" s="13">
        <f ca="1">(+M31+O31+R31+U31+V31+W31+X31+Y31+Z31+AA31+AC31+AH31+AI31+AJ31+AK31)*CUSTOS!$M$5</f>
        <v>1.131502712534334E-11</v>
      </c>
      <c r="O31" s="13">
        <f>1 - CUSTOS!$M$28</f>
        <v>1</v>
      </c>
      <c r="P31" s="13">
        <f>1 - CUSTOS!$M$28</f>
        <v>1</v>
      </c>
      <c r="Q31" s="13">
        <f>1*(1 - CUSTOS!$M$28)</f>
        <v>1</v>
      </c>
      <c r="R31" s="13">
        <f>1 - CUSTOS!$M$28</f>
        <v>1</v>
      </c>
      <c r="S31" s="13">
        <f>1 - CUSTOS!$M$28</f>
        <v>1</v>
      </c>
      <c r="T31" s="13"/>
      <c r="U31" s="13">
        <f>TRANSICAO!$U$31*CUSTOS!$T$3</f>
        <v>0</v>
      </c>
      <c r="V31" s="13">
        <f>TRANSICAO!$V$31*CUSTOS!$T$3</f>
        <v>0</v>
      </c>
      <c r="W31" s="13">
        <f>TRANSICAO!$W$31*CUSTOS!$T$3</f>
        <v>0</v>
      </c>
      <c r="X31" s="13">
        <f>TRANSICAO!$X$31*CUSTOS!$T$3</f>
        <v>0</v>
      </c>
      <c r="Y31" s="13">
        <f>TRANSICAO!$Y$31*CUSTOS!$T$3</f>
        <v>190.25700000000001</v>
      </c>
      <c r="Z31" s="13">
        <f>TRANSICAO!$Z$31*CUSTOS!$T$3</f>
        <v>0</v>
      </c>
      <c r="AA31" s="13">
        <f>TRANSICAO!$AA$31*CUSTOS!$T$3</f>
        <v>0</v>
      </c>
      <c r="AB31" s="13">
        <f>TRANSICAO!$AB$31*CUSTOS!$T$3</f>
        <v>0</v>
      </c>
      <c r="AC31" s="13">
        <f>TRANSICAO!$AC$31*CUSTOS!$T$3</f>
        <v>901.57270000000005</v>
      </c>
      <c r="AD31" s="13">
        <f>TRANSICAO!$AD$31*CUSTOS!$T$3</f>
        <v>0</v>
      </c>
      <c r="AE31" s="13">
        <v>0</v>
      </c>
      <c r="AF31" s="13">
        <v>0</v>
      </c>
      <c r="AG31" s="13"/>
      <c r="AH31" s="13">
        <f>(1 - CUSTOS!$M$28)*17.7724</f>
        <v>17.772400000000001</v>
      </c>
      <c r="AI31" s="13">
        <f>(1 - CUSTOS!$M$28)*17.7724</f>
        <v>17.772400000000001</v>
      </c>
      <c r="AJ31" s="13">
        <f ca="1">$N$64*(1-CUSTOS!$M$28)</f>
        <v>0</v>
      </c>
      <c r="AK31" s="13">
        <f t="shared" ca="1" si="0"/>
        <v>0</v>
      </c>
      <c r="AL31" s="13"/>
      <c r="AM31" s="13"/>
      <c r="AP31" s="13">
        <f>IF((1 - CUSTOS!$M$28)&lt;&gt;0,1/(1 - CUSTOS!$M$28),1)</f>
        <v>1</v>
      </c>
    </row>
    <row r="32" spans="1:42" ht="11.25" customHeight="1" x14ac:dyDescent="0.3">
      <c r="A32" s="92"/>
      <c r="B32" s="92"/>
      <c r="C32" s="92"/>
      <c r="D32" s="92"/>
      <c r="E32" s="92"/>
      <c r="F32" s="92"/>
      <c r="G32" s="18" t="s">
        <v>71</v>
      </c>
      <c r="H32" s="18" t="s">
        <v>69</v>
      </c>
      <c r="I32" s="18">
        <f>'MERCADO TUSD'!$U$29</f>
        <v>0</v>
      </c>
      <c r="J32" s="15"/>
      <c r="L32" s="13">
        <f>1*(1 - CUSTOS!$M$28)</f>
        <v>1</v>
      </c>
      <c r="M3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2.1282125343337257</v>
      </c>
      <c r="N32" s="13">
        <f ca="1">(+M32+O32+R32+U32+V32+W32+X32+Y32+Z32+AA32+AC32+AH32+AI32+AJ32+AK32)*CUSTOS!$M$5</f>
        <v>4.0365671253433377E-12</v>
      </c>
      <c r="O32" s="13">
        <f>1 - CUSTOS!$M$28</f>
        <v>1</v>
      </c>
      <c r="P32" s="13">
        <f>1 - CUSTOS!$M$28</f>
        <v>1</v>
      </c>
      <c r="Q32" s="13">
        <f>1*(1 - CUSTOS!$M$28)</f>
        <v>1</v>
      </c>
      <c r="R32" s="13">
        <f>1 - CUSTOS!$M$28</f>
        <v>1</v>
      </c>
      <c r="S32" s="13">
        <f>1 - CUSTOS!$M$28</f>
        <v>1</v>
      </c>
      <c r="T32" s="13"/>
      <c r="U32" s="13">
        <f>TRANSICAO!$U$32*CUSTOS!$T$3</f>
        <v>0</v>
      </c>
      <c r="V32" s="13">
        <f>TRANSICAO!$V$32*CUSTOS!$T$3</f>
        <v>0</v>
      </c>
      <c r="W32" s="13">
        <f>TRANSICAO!$W$32*CUSTOS!$T$3</f>
        <v>0</v>
      </c>
      <c r="X32" s="13">
        <f>TRANSICAO!$X$32*CUSTOS!$T$3</f>
        <v>0</v>
      </c>
      <c r="Y32" s="13">
        <f>TRANSICAO!$Y$32*CUSTOS!$T$3</f>
        <v>63.459800000000001</v>
      </c>
      <c r="Z32" s="13">
        <f>TRANSICAO!$Z$32*CUSTOS!$T$3</f>
        <v>0</v>
      </c>
      <c r="AA32" s="13">
        <f>TRANSICAO!$AA$32*CUSTOS!$T$3</f>
        <v>0</v>
      </c>
      <c r="AB32" s="13">
        <f>TRANSICAO!$AB$32*CUSTOS!$T$3</f>
        <v>0</v>
      </c>
      <c r="AC32" s="13">
        <f>TRANSICAO!$AC$32*CUSTOS!$T$3</f>
        <v>300.52390000000003</v>
      </c>
      <c r="AD32" s="13">
        <f>TRANSICAO!$AD$32*CUSTOS!$T$3</f>
        <v>0</v>
      </c>
      <c r="AE32" s="13">
        <v>0</v>
      </c>
      <c r="AF32" s="13">
        <v>0</v>
      </c>
      <c r="AG32" s="13"/>
      <c r="AH32" s="13">
        <f>(1 - CUSTOS!$M$28)*17.7724</f>
        <v>17.772400000000001</v>
      </c>
      <c r="AI32" s="13">
        <f>(1 - CUSTOS!$M$28)*17.7724</f>
        <v>17.772400000000001</v>
      </c>
      <c r="AJ32" s="13">
        <f ca="1">$N$64*(1-CUSTOS!$M$28)</f>
        <v>0</v>
      </c>
      <c r="AK32" s="13">
        <f t="shared" ca="1" si="0"/>
        <v>0</v>
      </c>
      <c r="AL32" s="13"/>
      <c r="AM32" s="13"/>
      <c r="AP32" s="13">
        <f>IF((1 - CUSTOS!$M$28)&lt;&gt;0,1/(1 - CUSTOS!$M$28),1)</f>
        <v>1</v>
      </c>
    </row>
    <row r="33" spans="1:42" ht="11.25" customHeight="1" x14ac:dyDescent="0.3">
      <c r="A33" s="92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75</v>
      </c>
      <c r="H33" s="18" t="s">
        <v>69</v>
      </c>
      <c r="I33" s="18">
        <f>'MERCADO TUSD'!$U$30</f>
        <v>3371.0129999999999</v>
      </c>
      <c r="J33" s="15"/>
      <c r="L33" s="13">
        <f>1*(1 - CUSTOS!$M$28)</f>
        <v>1</v>
      </c>
      <c r="M3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2.1282125343337257</v>
      </c>
      <c r="N33" s="13">
        <f ca="1">(+M33+O33+R33+U33+V33+W33+X33+Y33+Z33+AA33+AC33+AH33+AI33+AJ33+AK33)*CUSTOS!$M$5</f>
        <v>6.5657511253433359E-12</v>
      </c>
      <c r="O33" s="13">
        <f>1 - CUSTOS!$M$28</f>
        <v>1</v>
      </c>
      <c r="P33" s="13">
        <f>1 - CUSTOS!$M$28</f>
        <v>1</v>
      </c>
      <c r="Q33" s="13">
        <f>1*(1 - CUSTOS!$M$28)</f>
        <v>1</v>
      </c>
      <c r="R33" s="13">
        <f>1 - CUSTOS!$M$28</f>
        <v>1</v>
      </c>
      <c r="S33" s="13">
        <f>1 - CUSTOS!$M$28</f>
        <v>1</v>
      </c>
      <c r="T33" s="13"/>
      <c r="U33" s="13">
        <f>TRANSICAO!$U$33*CUSTOS!$T$3</f>
        <v>0</v>
      </c>
      <c r="V33" s="13">
        <f>TRANSICAO!$V$33*CUSTOS!$T$3</f>
        <v>0</v>
      </c>
      <c r="W33" s="13">
        <f>TRANSICAO!$W$33*CUSTOS!$T$3</f>
        <v>0</v>
      </c>
      <c r="X33" s="13">
        <f>TRANSICAO!$X$33*CUSTOS!$T$3</f>
        <v>0</v>
      </c>
      <c r="Y33" s="13">
        <f>TRANSICAO!$Y$33*CUSTOS!$T$3</f>
        <v>107.53919999999999</v>
      </c>
      <c r="Z33" s="13">
        <f>TRANSICAO!$Z$33*CUSTOS!$T$3</f>
        <v>0</v>
      </c>
      <c r="AA33" s="13">
        <f>TRANSICAO!$AA$33*CUSTOS!$T$3</f>
        <v>0</v>
      </c>
      <c r="AB33" s="13">
        <f>TRANSICAO!$AB$33*CUSTOS!$T$3</f>
        <v>0</v>
      </c>
      <c r="AC33" s="13">
        <f>TRANSICAO!$AC$33*CUSTOS!$T$3</f>
        <v>509.36290000000002</v>
      </c>
      <c r="AD33" s="13">
        <f>TRANSICAO!$AD$33*CUSTOS!$T$3</f>
        <v>0</v>
      </c>
      <c r="AE33" s="13">
        <v>0</v>
      </c>
      <c r="AF33" s="13">
        <v>0</v>
      </c>
      <c r="AG33" s="13"/>
      <c r="AH33" s="13">
        <f>(1 - CUSTOS!$M$28)*17.7724</f>
        <v>17.772400000000001</v>
      </c>
      <c r="AI33" s="13">
        <f>(1 - CUSTOS!$M$28)*17.7724</f>
        <v>17.772400000000001</v>
      </c>
      <c r="AJ33" s="13">
        <f ca="1">$N$64*(1-CUSTOS!$M$28)</f>
        <v>0</v>
      </c>
      <c r="AK33" s="13">
        <f t="shared" ca="1" si="0"/>
        <v>0</v>
      </c>
      <c r="AL33" s="13"/>
      <c r="AM33" s="13"/>
      <c r="AP33" s="13">
        <f>IF((1 - CUSTOS!$M$28)&lt;&gt;0,1/(1 - CUSTOS!$M$28),1)</f>
        <v>1</v>
      </c>
    </row>
    <row r="34" spans="1:42" ht="11.25" customHeight="1" x14ac:dyDescent="0.3">
      <c r="A34" s="92"/>
      <c r="B34" s="92" t="s">
        <v>39</v>
      </c>
      <c r="C34" s="92" t="s">
        <v>43</v>
      </c>
      <c r="D34" s="92" t="s">
        <v>85</v>
      </c>
      <c r="E34" s="92" t="s">
        <v>25</v>
      </c>
      <c r="F34" s="92" t="s">
        <v>25</v>
      </c>
      <c r="G34" s="18" t="s">
        <v>70</v>
      </c>
      <c r="H34" s="18" t="s">
        <v>69</v>
      </c>
      <c r="I34" s="18">
        <f>'MERCADO TUSD'!$U$31</f>
        <v>0</v>
      </c>
      <c r="J34" s="15"/>
      <c r="L34" s="13">
        <f>1*(1 - CUSTOS!$M$29)</f>
        <v>1</v>
      </c>
      <c r="M3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2.1282125343337257</v>
      </c>
      <c r="N34" s="13">
        <f ca="1">(+M34+O34+R34+U34+V34+W34+X34+Y34+Z34+AA34+AC34+AH34+AI34+AJ34+AK34)*CUSTOS!$M$5</f>
        <v>1.8594700125343337E-11</v>
      </c>
      <c r="O34" s="13">
        <f>1 - CUSTOS!$M$29</f>
        <v>1</v>
      </c>
      <c r="P34" s="13">
        <f>1 - CUSTOS!$M$29</f>
        <v>1</v>
      </c>
      <c r="Q34" s="13">
        <f>1*(1 - CUSTOS!$M$29)</f>
        <v>1</v>
      </c>
      <c r="R34" s="13">
        <f>1 - CUSTOS!$M$29</f>
        <v>1</v>
      </c>
      <c r="S34" s="13">
        <f>1 - CUSTOS!$M$29</f>
        <v>1</v>
      </c>
      <c r="T34" s="13"/>
      <c r="U34" s="13">
        <f>TRANSICAO!$U$34*CUSTOS!$T$3</f>
        <v>0</v>
      </c>
      <c r="V34" s="13">
        <f>TRANSICAO!$V$34*CUSTOS!$T$3</f>
        <v>0</v>
      </c>
      <c r="W34" s="13">
        <f>TRANSICAO!$W$34*CUSTOS!$T$3</f>
        <v>0</v>
      </c>
      <c r="X34" s="13">
        <f>TRANSICAO!$X$34*CUSTOS!$T$3</f>
        <v>0</v>
      </c>
      <c r="Y34" s="13">
        <f>TRANSICAO!$Y$34*CUSTOS!$T$3</f>
        <v>317.17649999999998</v>
      </c>
      <c r="Z34" s="13">
        <f>TRANSICAO!$Z$34*CUSTOS!$T$3</f>
        <v>0</v>
      </c>
      <c r="AA34" s="13">
        <f>TRANSICAO!$AA$34*CUSTOS!$T$3</f>
        <v>0</v>
      </c>
      <c r="AB34" s="13">
        <f>TRANSICAO!$AB$34*CUSTOS!$T$3</f>
        <v>0</v>
      </c>
      <c r="AC34" s="13">
        <f>TRANSICAO!$AC$34*CUSTOS!$T$3</f>
        <v>1502.6205</v>
      </c>
      <c r="AD34" s="13">
        <f>TRANSICAO!$AD$34*CUSTOS!$T$3</f>
        <v>0</v>
      </c>
      <c r="AE34" s="13">
        <v>0</v>
      </c>
      <c r="AF34" s="13">
        <v>0</v>
      </c>
      <c r="AG34" s="13"/>
      <c r="AH34" s="13">
        <f>(1 - CUSTOS!$M$29)*17.7724</f>
        <v>17.772400000000001</v>
      </c>
      <c r="AI34" s="13">
        <f>(1 - CUSTOS!$M$29)*17.7724</f>
        <v>17.772400000000001</v>
      </c>
      <c r="AJ34" s="13">
        <f ca="1">$N$64*(1-CUSTOS!$M$29)</f>
        <v>0</v>
      </c>
      <c r="AK34" s="13">
        <f t="shared" ca="1" si="0"/>
        <v>0</v>
      </c>
      <c r="AL34" s="13"/>
      <c r="AM34" s="13"/>
      <c r="AP34" s="13">
        <f>IF((1 - CUSTOS!$M$29)&lt;&gt;0,1/(1 - CUSTOS!$M$29),1)</f>
        <v>1</v>
      </c>
    </row>
    <row r="35" spans="1:42" ht="11.25" customHeight="1" x14ac:dyDescent="0.3">
      <c r="A35" s="92"/>
      <c r="B35" s="92"/>
      <c r="C35" s="92"/>
      <c r="D35" s="92"/>
      <c r="E35" s="92"/>
      <c r="F35" s="92"/>
      <c r="G35" s="18" t="s">
        <v>81</v>
      </c>
      <c r="H35" s="18" t="s">
        <v>69</v>
      </c>
      <c r="I35" s="18">
        <f>'MERCADO TUSD'!$U$32</f>
        <v>0</v>
      </c>
      <c r="J35" s="15"/>
      <c r="L35" s="13">
        <f>1*(1 - CUSTOS!$M$29)</f>
        <v>1</v>
      </c>
      <c r="M3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2.1282125343337257</v>
      </c>
      <c r="N35" s="13">
        <f ca="1">(+M35+O35+R35+U35+V35+W35+X35+Y35+Z35+AA35+AC35+AH35+AI35+AJ35+AK35)*CUSTOS!$M$5</f>
        <v>1.131502712534334E-11</v>
      </c>
      <c r="O35" s="13">
        <f>1 - CUSTOS!$M$29</f>
        <v>1</v>
      </c>
      <c r="P35" s="13">
        <f>1 - CUSTOS!$M$29</f>
        <v>1</v>
      </c>
      <c r="Q35" s="13">
        <f>1*(1 - CUSTOS!$M$29)</f>
        <v>1</v>
      </c>
      <c r="R35" s="13">
        <f>1 - CUSTOS!$M$29</f>
        <v>1</v>
      </c>
      <c r="S35" s="13">
        <f>1 - CUSTOS!$M$29</f>
        <v>1</v>
      </c>
      <c r="T35" s="13"/>
      <c r="U35" s="13">
        <f>TRANSICAO!$U$35*CUSTOS!$T$3</f>
        <v>0</v>
      </c>
      <c r="V35" s="13">
        <f>TRANSICAO!$V$35*CUSTOS!$T$3</f>
        <v>0</v>
      </c>
      <c r="W35" s="13">
        <f>TRANSICAO!$W$35*CUSTOS!$T$3</f>
        <v>0</v>
      </c>
      <c r="X35" s="13">
        <f>TRANSICAO!$X$35*CUSTOS!$T$3</f>
        <v>0</v>
      </c>
      <c r="Y35" s="13">
        <f>TRANSICAO!$Y$35*CUSTOS!$T$3</f>
        <v>190.25700000000001</v>
      </c>
      <c r="Z35" s="13">
        <f>TRANSICAO!$Z$35*CUSTOS!$T$3</f>
        <v>0</v>
      </c>
      <c r="AA35" s="13">
        <f>TRANSICAO!$AA$35*CUSTOS!$T$3</f>
        <v>0</v>
      </c>
      <c r="AB35" s="13">
        <f>TRANSICAO!$AB$35*CUSTOS!$T$3</f>
        <v>0</v>
      </c>
      <c r="AC35" s="13">
        <f>TRANSICAO!$AC$35*CUSTOS!$T$3</f>
        <v>901.57270000000005</v>
      </c>
      <c r="AD35" s="13">
        <f>TRANSICAO!$AD$35*CUSTOS!$T$3</f>
        <v>0</v>
      </c>
      <c r="AE35" s="13">
        <v>0</v>
      </c>
      <c r="AF35" s="13">
        <v>0</v>
      </c>
      <c r="AG35" s="13"/>
      <c r="AH35" s="13">
        <f>(1 - CUSTOS!$M$29)*17.7724</f>
        <v>17.772400000000001</v>
      </c>
      <c r="AI35" s="13">
        <f>(1 - CUSTOS!$M$29)*17.7724</f>
        <v>17.772400000000001</v>
      </c>
      <c r="AJ35" s="13">
        <f ca="1">$N$64*(1-CUSTOS!$M$29)</f>
        <v>0</v>
      </c>
      <c r="AK35" s="13">
        <f t="shared" ca="1" si="0"/>
        <v>0</v>
      </c>
      <c r="AL35" s="13"/>
      <c r="AM35" s="13"/>
      <c r="AP35" s="13">
        <f>IF((1 - CUSTOS!$M$29)&lt;&gt;0,1/(1 - CUSTOS!$M$29),1)</f>
        <v>1</v>
      </c>
    </row>
    <row r="36" spans="1:42" ht="11.25" customHeight="1" x14ac:dyDescent="0.3">
      <c r="A36" s="92"/>
      <c r="B36" s="92"/>
      <c r="C36" s="92"/>
      <c r="D36" s="92"/>
      <c r="E36" s="92"/>
      <c r="F36" s="92"/>
      <c r="G36" s="18" t="s">
        <v>71</v>
      </c>
      <c r="H36" s="18" t="s">
        <v>69</v>
      </c>
      <c r="I36" s="18">
        <f>'MERCADO TUSD'!$U$33</f>
        <v>0</v>
      </c>
      <c r="J36" s="15"/>
      <c r="L36" s="13">
        <f>1*(1 - CUSTOS!$M$29)</f>
        <v>1</v>
      </c>
      <c r="M3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2.1282125343337257</v>
      </c>
      <c r="N36" s="13">
        <f ca="1">(+M36+O36+R36+U36+V36+W36+X36+Y36+Z36+AA36+AC36+AH36+AI36+AJ36+AK36)*CUSTOS!$M$5</f>
        <v>4.0365671253433377E-12</v>
      </c>
      <c r="O36" s="13">
        <f>1 - CUSTOS!$M$29</f>
        <v>1</v>
      </c>
      <c r="P36" s="13">
        <f>1 - CUSTOS!$M$29</f>
        <v>1</v>
      </c>
      <c r="Q36" s="13">
        <f>1*(1 - CUSTOS!$M$29)</f>
        <v>1</v>
      </c>
      <c r="R36" s="13">
        <f>1 - CUSTOS!$M$29</f>
        <v>1</v>
      </c>
      <c r="S36" s="13">
        <f>1 - CUSTOS!$M$29</f>
        <v>1</v>
      </c>
      <c r="T36" s="13"/>
      <c r="U36" s="13">
        <f>TRANSICAO!$U$36*CUSTOS!$T$3</f>
        <v>0</v>
      </c>
      <c r="V36" s="13">
        <f>TRANSICAO!$V$36*CUSTOS!$T$3</f>
        <v>0</v>
      </c>
      <c r="W36" s="13">
        <f>TRANSICAO!$W$36*CUSTOS!$T$3</f>
        <v>0</v>
      </c>
      <c r="X36" s="13">
        <f>TRANSICAO!$X$36*CUSTOS!$T$3</f>
        <v>0</v>
      </c>
      <c r="Y36" s="13">
        <f>TRANSICAO!$Y$36*CUSTOS!$T$3</f>
        <v>63.459800000000001</v>
      </c>
      <c r="Z36" s="13">
        <f>TRANSICAO!$Z$36*CUSTOS!$T$3</f>
        <v>0</v>
      </c>
      <c r="AA36" s="13">
        <f>TRANSICAO!$AA$36*CUSTOS!$T$3</f>
        <v>0</v>
      </c>
      <c r="AB36" s="13">
        <f>TRANSICAO!$AB$36*CUSTOS!$T$3</f>
        <v>0</v>
      </c>
      <c r="AC36" s="13">
        <f>TRANSICAO!$AC$36*CUSTOS!$T$3</f>
        <v>300.52390000000003</v>
      </c>
      <c r="AD36" s="13">
        <f>TRANSICAO!$AD$36*CUSTOS!$T$3</f>
        <v>0</v>
      </c>
      <c r="AE36" s="13">
        <v>0</v>
      </c>
      <c r="AF36" s="13">
        <v>0</v>
      </c>
      <c r="AG36" s="13"/>
      <c r="AH36" s="13">
        <f>(1 - CUSTOS!$M$29)*17.7724</f>
        <v>17.772400000000001</v>
      </c>
      <c r="AI36" s="13">
        <f>(1 - CUSTOS!$M$29)*17.7724</f>
        <v>17.772400000000001</v>
      </c>
      <c r="AJ36" s="13">
        <f ca="1">$N$64*(1-CUSTOS!$M$29)</f>
        <v>0</v>
      </c>
      <c r="AK36" s="13">
        <f t="shared" ca="1" si="0"/>
        <v>0</v>
      </c>
      <c r="AL36" s="13"/>
      <c r="AM36" s="13"/>
      <c r="AP36" s="13">
        <f>IF((1 - CUSTOS!$M$29)&lt;&gt;0,1/(1 - CUSTOS!$M$29),1)</f>
        <v>1</v>
      </c>
    </row>
    <row r="37" spans="1:42" ht="11.25" customHeight="1" x14ac:dyDescent="0.3">
      <c r="A37" s="92"/>
      <c r="B37" s="17" t="s">
        <v>23</v>
      </c>
      <c r="C37" s="17" t="s">
        <v>43</v>
      </c>
      <c r="D37" s="17" t="s">
        <v>85</v>
      </c>
      <c r="E37" s="17" t="s">
        <v>25</v>
      </c>
      <c r="F37" s="17" t="s">
        <v>25</v>
      </c>
      <c r="G37" s="18" t="s">
        <v>75</v>
      </c>
      <c r="H37" s="18" t="s">
        <v>69</v>
      </c>
      <c r="I37" s="18">
        <f>'MERCADO TUSD'!$U$34</f>
        <v>0</v>
      </c>
      <c r="J37" s="15"/>
      <c r="L37" s="13">
        <f>1*(1 - CUSTOS!$M$29)</f>
        <v>1</v>
      </c>
      <c r="M3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2.1282125343337257</v>
      </c>
      <c r="N37" s="13">
        <f ca="1">(+M37+O37+R37+U37+V37+W37+X37+Y37+Z37+AA37+AC37+AH37+AI37+AJ37+AK37)*CUSTOS!$M$5</f>
        <v>6.5657511253433359E-12</v>
      </c>
      <c r="O37" s="13">
        <f>1 - CUSTOS!$M$29</f>
        <v>1</v>
      </c>
      <c r="P37" s="13">
        <f>1 - CUSTOS!$M$29</f>
        <v>1</v>
      </c>
      <c r="Q37" s="13">
        <f>1*(1 - CUSTOS!$M$29)</f>
        <v>1</v>
      </c>
      <c r="R37" s="13">
        <f>1 - CUSTOS!$M$29</f>
        <v>1</v>
      </c>
      <c r="S37" s="13">
        <f>1 - CUSTOS!$M$29</f>
        <v>1</v>
      </c>
      <c r="T37" s="13"/>
      <c r="U37" s="13">
        <f>TRANSICAO!$U$37*CUSTOS!$T$3</f>
        <v>0</v>
      </c>
      <c r="V37" s="13">
        <f>TRANSICAO!$V$37*CUSTOS!$T$3</f>
        <v>0</v>
      </c>
      <c r="W37" s="13">
        <f>TRANSICAO!$W$37*CUSTOS!$T$3</f>
        <v>0</v>
      </c>
      <c r="X37" s="13">
        <f>TRANSICAO!$X$37*CUSTOS!$T$3</f>
        <v>0</v>
      </c>
      <c r="Y37" s="13">
        <f>TRANSICAO!$Y$37*CUSTOS!$T$3</f>
        <v>107.53919999999999</v>
      </c>
      <c r="Z37" s="13">
        <f>TRANSICAO!$Z$37*CUSTOS!$T$3</f>
        <v>0</v>
      </c>
      <c r="AA37" s="13">
        <f>TRANSICAO!$AA$37*CUSTOS!$T$3</f>
        <v>0</v>
      </c>
      <c r="AB37" s="13">
        <f>TRANSICAO!$AB$37*CUSTOS!$T$3</f>
        <v>0</v>
      </c>
      <c r="AC37" s="13">
        <f>TRANSICAO!$AC$37*CUSTOS!$T$3</f>
        <v>509.36290000000002</v>
      </c>
      <c r="AD37" s="13">
        <f>TRANSICAO!$AD$37*CUSTOS!$T$3</f>
        <v>0</v>
      </c>
      <c r="AE37" s="13">
        <v>0</v>
      </c>
      <c r="AF37" s="13">
        <v>0</v>
      </c>
      <c r="AG37" s="13"/>
      <c r="AH37" s="13">
        <f>(1 - CUSTOS!$M$29)*17.7724</f>
        <v>17.772400000000001</v>
      </c>
      <c r="AI37" s="13">
        <f>(1 - CUSTOS!$M$29)*17.7724</f>
        <v>17.772400000000001</v>
      </c>
      <c r="AJ37" s="13">
        <f ca="1">$N$64*(1-CUSTOS!$M$29)</f>
        <v>0</v>
      </c>
      <c r="AK37" s="13">
        <f t="shared" ca="1" si="0"/>
        <v>0</v>
      </c>
      <c r="AL37" s="13"/>
      <c r="AM37" s="13"/>
      <c r="AP37" s="13">
        <f>IF((1 - CUSTOS!$M$29)&lt;&gt;0,1/(1 - CUSTOS!$M$29),1)</f>
        <v>1</v>
      </c>
    </row>
    <row r="38" spans="1:42" ht="11.25" customHeight="1" x14ac:dyDescent="0.3">
      <c r="A38" s="92"/>
      <c r="B38" s="92" t="s">
        <v>39</v>
      </c>
      <c r="C38" s="92" t="s">
        <v>43</v>
      </c>
      <c r="D38" s="92" t="s">
        <v>86</v>
      </c>
      <c r="E38" s="92" t="s">
        <v>25</v>
      </c>
      <c r="F38" s="92" t="s">
        <v>25</v>
      </c>
      <c r="G38" s="18" t="s">
        <v>70</v>
      </c>
      <c r="H38" s="18" t="s">
        <v>69</v>
      </c>
      <c r="I38" s="18">
        <f>'MERCADO TUSD'!$U$35</f>
        <v>0</v>
      </c>
      <c r="J38" s="15"/>
      <c r="L38" s="13">
        <f>1*(1 - CUSTOS!$M$30)</f>
        <v>1</v>
      </c>
      <c r="M3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2.1282125343337257</v>
      </c>
      <c r="N38" s="13">
        <f ca="1">(+M38+O38+R38+U38+V38+W38+X38+Y38+Z38+AA38+AC38+AH38+AI38+AJ38+AK38)*CUSTOS!$M$5</f>
        <v>1.8594700125343337E-11</v>
      </c>
      <c r="O38" s="13">
        <f>1 - CUSTOS!$M$30</f>
        <v>1</v>
      </c>
      <c r="P38" s="13">
        <f>1 - CUSTOS!$M$30</f>
        <v>1</v>
      </c>
      <c r="Q38" s="13">
        <f>1*(1 - CUSTOS!$M$30)</f>
        <v>1</v>
      </c>
      <c r="R38" s="13">
        <f>1 - CUSTOS!$M$30</f>
        <v>1</v>
      </c>
      <c r="S38" s="13">
        <f>1 - CUSTOS!$M$30</f>
        <v>1</v>
      </c>
      <c r="T38" s="13"/>
      <c r="U38" s="13">
        <f>TRANSICAO!$U$38*CUSTOS!$T$3</f>
        <v>0</v>
      </c>
      <c r="V38" s="13">
        <f>TRANSICAO!$V$38*CUSTOS!$T$3</f>
        <v>0</v>
      </c>
      <c r="W38" s="13">
        <f>TRANSICAO!$W$38*CUSTOS!$T$3</f>
        <v>0</v>
      </c>
      <c r="X38" s="13">
        <f>TRANSICAO!$X$38*CUSTOS!$T$3</f>
        <v>0</v>
      </c>
      <c r="Y38" s="13">
        <f>TRANSICAO!$Y$38*CUSTOS!$T$3</f>
        <v>317.17649999999998</v>
      </c>
      <c r="Z38" s="13">
        <f>TRANSICAO!$Z$38*CUSTOS!$T$3</f>
        <v>0</v>
      </c>
      <c r="AA38" s="13">
        <f>TRANSICAO!$AA$38*CUSTOS!$T$3</f>
        <v>0</v>
      </c>
      <c r="AB38" s="13">
        <f>TRANSICAO!$AB$38*CUSTOS!$T$3</f>
        <v>0</v>
      </c>
      <c r="AC38" s="13">
        <f>TRANSICAO!$AC$38*CUSTOS!$T$3</f>
        <v>1502.6205</v>
      </c>
      <c r="AD38" s="13">
        <f>TRANSICAO!$AD$38*CUSTOS!$T$3</f>
        <v>0</v>
      </c>
      <c r="AE38" s="13">
        <v>0</v>
      </c>
      <c r="AF38" s="13">
        <v>0</v>
      </c>
      <c r="AG38" s="13"/>
      <c r="AH38" s="13">
        <f>(1 - CUSTOS!$M$30)*17.7724</f>
        <v>17.772400000000001</v>
      </c>
      <c r="AI38" s="13">
        <f>(1 - CUSTOS!$M$30)*17.7724</f>
        <v>17.772400000000001</v>
      </c>
      <c r="AJ38" s="13">
        <f ca="1">$N$64*(1-CUSTOS!$M$30)</f>
        <v>0</v>
      </c>
      <c r="AK38" s="13">
        <f t="shared" ca="1" si="0"/>
        <v>0</v>
      </c>
      <c r="AL38" s="13"/>
      <c r="AM38" s="13"/>
      <c r="AP38" s="13">
        <f>IF((1 - CUSTOS!$M$30)&lt;&gt;0,1/(1 - CUSTOS!$M$30),1)</f>
        <v>1</v>
      </c>
    </row>
    <row r="39" spans="1:42" ht="11.25" customHeight="1" x14ac:dyDescent="0.3">
      <c r="A39" s="92"/>
      <c r="B39" s="92"/>
      <c r="C39" s="92"/>
      <c r="D39" s="92"/>
      <c r="E39" s="92"/>
      <c r="F39" s="92"/>
      <c r="G39" s="18" t="s">
        <v>81</v>
      </c>
      <c r="H39" s="18" t="s">
        <v>69</v>
      </c>
      <c r="I39" s="18">
        <f>'MERCADO TUSD'!$U$36</f>
        <v>0</v>
      </c>
      <c r="J39" s="15"/>
      <c r="L39" s="13">
        <f>1*(1 - CUSTOS!$M$30)</f>
        <v>1</v>
      </c>
      <c r="M3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2.1282125343337257</v>
      </c>
      <c r="N39" s="13">
        <f ca="1">(+M39+O39+R39+U39+V39+W39+X39+Y39+Z39+AA39+AC39+AH39+AI39+AJ39+AK39)*CUSTOS!$M$5</f>
        <v>1.131502712534334E-11</v>
      </c>
      <c r="O39" s="13">
        <f>1 - CUSTOS!$M$30</f>
        <v>1</v>
      </c>
      <c r="P39" s="13">
        <f>1 - CUSTOS!$M$30</f>
        <v>1</v>
      </c>
      <c r="Q39" s="13">
        <f>1*(1 - CUSTOS!$M$30)</f>
        <v>1</v>
      </c>
      <c r="R39" s="13">
        <f>1 - CUSTOS!$M$30</f>
        <v>1</v>
      </c>
      <c r="S39" s="13">
        <f>1 - CUSTOS!$M$30</f>
        <v>1</v>
      </c>
      <c r="T39" s="13"/>
      <c r="U39" s="13">
        <f>TRANSICAO!$U$39*CUSTOS!$T$3</f>
        <v>0</v>
      </c>
      <c r="V39" s="13">
        <f>TRANSICAO!$V$39*CUSTOS!$T$3</f>
        <v>0</v>
      </c>
      <c r="W39" s="13">
        <f>TRANSICAO!$W$39*CUSTOS!$T$3</f>
        <v>0</v>
      </c>
      <c r="X39" s="13">
        <f>TRANSICAO!$X$39*CUSTOS!$T$3</f>
        <v>0</v>
      </c>
      <c r="Y39" s="13">
        <f>TRANSICAO!$Y$39*CUSTOS!$T$3</f>
        <v>190.25700000000001</v>
      </c>
      <c r="Z39" s="13">
        <f>TRANSICAO!$Z$39*CUSTOS!$T$3</f>
        <v>0</v>
      </c>
      <c r="AA39" s="13">
        <f>TRANSICAO!$AA$39*CUSTOS!$T$3</f>
        <v>0</v>
      </c>
      <c r="AB39" s="13">
        <f>TRANSICAO!$AB$39*CUSTOS!$T$3</f>
        <v>0</v>
      </c>
      <c r="AC39" s="13">
        <f>TRANSICAO!$AC$39*CUSTOS!$T$3</f>
        <v>901.57270000000005</v>
      </c>
      <c r="AD39" s="13">
        <f>TRANSICAO!$AD$39*CUSTOS!$T$3</f>
        <v>0</v>
      </c>
      <c r="AE39" s="13">
        <v>0</v>
      </c>
      <c r="AF39" s="13">
        <v>0</v>
      </c>
      <c r="AG39" s="13"/>
      <c r="AH39" s="13">
        <f>(1 - CUSTOS!$M$30)*17.7724</f>
        <v>17.772400000000001</v>
      </c>
      <c r="AI39" s="13">
        <f>(1 - CUSTOS!$M$30)*17.7724</f>
        <v>17.772400000000001</v>
      </c>
      <c r="AJ39" s="13">
        <f ca="1">$N$64*(1-CUSTOS!$M$30)</f>
        <v>0</v>
      </c>
      <c r="AK39" s="13">
        <f t="shared" ca="1" si="0"/>
        <v>0</v>
      </c>
      <c r="AL39" s="13"/>
      <c r="AM39" s="13"/>
      <c r="AP39" s="13">
        <f>IF((1 - CUSTOS!$M$30)&lt;&gt;0,1/(1 - CUSTOS!$M$30),1)</f>
        <v>1</v>
      </c>
    </row>
    <row r="40" spans="1:42" ht="11.25" customHeight="1" x14ac:dyDescent="0.3">
      <c r="A40" s="92"/>
      <c r="B40" s="92"/>
      <c r="C40" s="92"/>
      <c r="D40" s="92"/>
      <c r="E40" s="92"/>
      <c r="F40" s="92"/>
      <c r="G40" s="18" t="s">
        <v>71</v>
      </c>
      <c r="H40" s="18" t="s">
        <v>69</v>
      </c>
      <c r="I40" s="18">
        <f>'MERCADO TUSD'!$U$37</f>
        <v>0</v>
      </c>
      <c r="J40" s="15"/>
      <c r="L40" s="13">
        <f>1*(1 - CUSTOS!$M$30)</f>
        <v>1</v>
      </c>
      <c r="M4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2.1282125343337257</v>
      </c>
      <c r="N40" s="13">
        <f ca="1">(+M40+O40+R40+U40+V40+W40+X40+Y40+Z40+AA40+AC40+AH40+AI40+AJ40+AK40)*CUSTOS!$M$5</f>
        <v>4.0365671253433377E-12</v>
      </c>
      <c r="O40" s="13">
        <f>1 - CUSTOS!$M$30</f>
        <v>1</v>
      </c>
      <c r="P40" s="13">
        <f>1 - CUSTOS!$M$30</f>
        <v>1</v>
      </c>
      <c r="Q40" s="13">
        <f>1*(1 - CUSTOS!$M$30)</f>
        <v>1</v>
      </c>
      <c r="R40" s="13">
        <f>1 - CUSTOS!$M$30</f>
        <v>1</v>
      </c>
      <c r="S40" s="13">
        <f>1 - CUSTOS!$M$30</f>
        <v>1</v>
      </c>
      <c r="T40" s="13"/>
      <c r="U40" s="13">
        <f>TRANSICAO!$U$40*CUSTOS!$T$3</f>
        <v>0</v>
      </c>
      <c r="V40" s="13">
        <f>TRANSICAO!$V$40*CUSTOS!$T$3</f>
        <v>0</v>
      </c>
      <c r="W40" s="13">
        <f>TRANSICAO!$W$40*CUSTOS!$T$3</f>
        <v>0</v>
      </c>
      <c r="X40" s="13">
        <f>TRANSICAO!$X$40*CUSTOS!$T$3</f>
        <v>0</v>
      </c>
      <c r="Y40" s="13">
        <f>TRANSICAO!$Y$40*CUSTOS!$T$3</f>
        <v>63.459800000000001</v>
      </c>
      <c r="Z40" s="13">
        <f>TRANSICAO!$Z$40*CUSTOS!$T$3</f>
        <v>0</v>
      </c>
      <c r="AA40" s="13">
        <f>TRANSICAO!$AA$40*CUSTOS!$T$3</f>
        <v>0</v>
      </c>
      <c r="AB40" s="13">
        <f>TRANSICAO!$AB$40*CUSTOS!$T$3</f>
        <v>0</v>
      </c>
      <c r="AC40" s="13">
        <f>TRANSICAO!$AC$40*CUSTOS!$T$3</f>
        <v>300.52390000000003</v>
      </c>
      <c r="AD40" s="13">
        <f>TRANSICAO!$AD$40*CUSTOS!$T$3</f>
        <v>0</v>
      </c>
      <c r="AE40" s="13">
        <v>0</v>
      </c>
      <c r="AF40" s="13">
        <v>0</v>
      </c>
      <c r="AG40" s="13"/>
      <c r="AH40" s="13">
        <f>(1 - CUSTOS!$M$30)*17.7724</f>
        <v>17.772400000000001</v>
      </c>
      <c r="AI40" s="13">
        <f>(1 - CUSTOS!$M$30)*17.7724</f>
        <v>17.772400000000001</v>
      </c>
      <c r="AJ40" s="13">
        <f ca="1">$N$64*(1-CUSTOS!$M$30)</f>
        <v>0</v>
      </c>
      <c r="AK40" s="13">
        <f t="shared" ca="1" si="0"/>
        <v>0</v>
      </c>
      <c r="AL40" s="13"/>
      <c r="AM40" s="13"/>
      <c r="AP40" s="13">
        <f>IF((1 - CUSTOS!$M$30)&lt;&gt;0,1/(1 - CUSTOS!$M$30),1)</f>
        <v>1</v>
      </c>
    </row>
    <row r="41" spans="1:42" ht="11.25" customHeight="1" x14ac:dyDescent="0.3">
      <c r="A41" s="92"/>
      <c r="B41" s="17" t="s">
        <v>23</v>
      </c>
      <c r="C41" s="17" t="s">
        <v>43</v>
      </c>
      <c r="D41" s="17" t="s">
        <v>86</v>
      </c>
      <c r="E41" s="17" t="s">
        <v>25</v>
      </c>
      <c r="F41" s="17" t="s">
        <v>25</v>
      </c>
      <c r="G41" s="18" t="s">
        <v>75</v>
      </c>
      <c r="H41" s="18" t="s">
        <v>69</v>
      </c>
      <c r="I41" s="18">
        <f>'MERCADO TUSD'!$U$38</f>
        <v>0</v>
      </c>
      <c r="J41" s="15"/>
      <c r="L41" s="13">
        <f>1*(1 - CUSTOS!$M$30)</f>
        <v>1</v>
      </c>
      <c r="M4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2.1282125343337257</v>
      </c>
      <c r="N41" s="13">
        <f ca="1">(+M41+O41+R41+U41+V41+W41+X41+Y41+Z41+AA41+AC41+AH41+AI41+AJ41+AK41)*CUSTOS!$M$5</f>
        <v>6.5657511253433359E-12</v>
      </c>
      <c r="O41" s="13">
        <f>1 - CUSTOS!$M$30</f>
        <v>1</v>
      </c>
      <c r="P41" s="13">
        <f>1 - CUSTOS!$M$30</f>
        <v>1</v>
      </c>
      <c r="Q41" s="13">
        <f>1*(1 - CUSTOS!$M$30)</f>
        <v>1</v>
      </c>
      <c r="R41" s="13">
        <f>1 - CUSTOS!$M$30</f>
        <v>1</v>
      </c>
      <c r="S41" s="13">
        <f>1 - CUSTOS!$M$30</f>
        <v>1</v>
      </c>
      <c r="T41" s="13"/>
      <c r="U41" s="13">
        <f>TRANSICAO!$U$41*CUSTOS!$T$3</f>
        <v>0</v>
      </c>
      <c r="V41" s="13">
        <f>TRANSICAO!$V$41*CUSTOS!$T$3</f>
        <v>0</v>
      </c>
      <c r="W41" s="13">
        <f>TRANSICAO!$W$41*CUSTOS!$T$3</f>
        <v>0</v>
      </c>
      <c r="X41" s="13">
        <f>TRANSICAO!$X$41*CUSTOS!$T$3</f>
        <v>0</v>
      </c>
      <c r="Y41" s="13">
        <f>TRANSICAO!$Y$41*CUSTOS!$T$3</f>
        <v>107.53919999999999</v>
      </c>
      <c r="Z41" s="13">
        <f>TRANSICAO!$Z$41*CUSTOS!$T$3</f>
        <v>0</v>
      </c>
      <c r="AA41" s="13">
        <f>TRANSICAO!$AA$41*CUSTOS!$T$3</f>
        <v>0</v>
      </c>
      <c r="AB41" s="13">
        <f>TRANSICAO!$AB$41*CUSTOS!$T$3</f>
        <v>0</v>
      </c>
      <c r="AC41" s="13">
        <f>TRANSICAO!$AC$41*CUSTOS!$T$3</f>
        <v>509.36290000000002</v>
      </c>
      <c r="AD41" s="13">
        <f>TRANSICAO!$AD$41*CUSTOS!$T$3</f>
        <v>0</v>
      </c>
      <c r="AE41" s="13">
        <v>0</v>
      </c>
      <c r="AF41" s="13">
        <v>0</v>
      </c>
      <c r="AG41" s="13"/>
      <c r="AH41" s="13">
        <f>(1 - CUSTOS!$M$30)*17.7724</f>
        <v>17.772400000000001</v>
      </c>
      <c r="AI41" s="13">
        <f>(1 - CUSTOS!$M$30)*17.7724</f>
        <v>17.772400000000001</v>
      </c>
      <c r="AJ41" s="13">
        <f ca="1">$N$64*(1-CUSTOS!$M$30)</f>
        <v>0</v>
      </c>
      <c r="AK41" s="13">
        <f t="shared" ca="1" si="0"/>
        <v>0</v>
      </c>
      <c r="AL41" s="13"/>
      <c r="AM41" s="13"/>
      <c r="AP41" s="13">
        <f>IF((1 - CUSTOS!$M$30)&lt;&gt;0,1/(1 - CUSTOS!$M$30),1)</f>
        <v>1</v>
      </c>
    </row>
    <row r="42" spans="1:42" ht="11.25" customHeight="1" x14ac:dyDescent="0.3">
      <c r="A42" s="92"/>
      <c r="B42" s="92" t="s">
        <v>84</v>
      </c>
      <c r="C42" s="92" t="s">
        <v>43</v>
      </c>
      <c r="D42" s="17" t="s">
        <v>25</v>
      </c>
      <c r="E42" s="17" t="s">
        <v>25</v>
      </c>
      <c r="F42" s="17" t="s">
        <v>25</v>
      </c>
      <c r="G42" s="18" t="s">
        <v>75</v>
      </c>
      <c r="H42" s="18" t="s">
        <v>69</v>
      </c>
      <c r="I42" s="18">
        <f>'MERCADO TUSD'!$U$39</f>
        <v>0</v>
      </c>
      <c r="J42" s="15"/>
      <c r="L42" s="13">
        <f>1*(1 - CUSTOS!$M$28)</f>
        <v>1</v>
      </c>
      <c r="M42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CUSTOS!$M$28)</f>
        <v>2.1282125343337257</v>
      </c>
      <c r="N42" s="13">
        <f ca="1">(+M42+O42+R42+U42+V42+W42+X42+Y42+Z42+AA42+AC42+AH42+AI42+AJ42+AK42)*CUSTOS!$M$5</f>
        <v>6.5657511253433359E-12</v>
      </c>
      <c r="O42" s="13">
        <f>1 - CUSTOS!$M$28</f>
        <v>1</v>
      </c>
      <c r="P42" s="13">
        <f>1 - CUSTOS!$M$28</f>
        <v>1</v>
      </c>
      <c r="Q42" s="13">
        <f>1*(1 - CUSTOS!$M$28)</f>
        <v>1</v>
      </c>
      <c r="R42" s="13">
        <f>1 - CUSTOS!$M$28</f>
        <v>1</v>
      </c>
      <c r="S42" s="13">
        <f>1 - CUSTOS!$M$28</f>
        <v>1</v>
      </c>
      <c r="T42" s="13"/>
      <c r="U42" s="13">
        <f>TRANSICAO!$U$42*CUSTOS!$T$3</f>
        <v>0</v>
      </c>
      <c r="V42" s="13">
        <f>TRANSICAO!$V$42*CUSTOS!$T$3</f>
        <v>0</v>
      </c>
      <c r="W42" s="13">
        <f>TRANSICAO!$W$42*CUSTOS!$T$3</f>
        <v>0</v>
      </c>
      <c r="X42" s="13">
        <f>TRANSICAO!$X$42*CUSTOS!$T$3</f>
        <v>0</v>
      </c>
      <c r="Y42" s="13">
        <f>TRANSICAO!$Y$42*CUSTOS!$T$3</f>
        <v>107.53919999999999</v>
      </c>
      <c r="Z42" s="13">
        <f>TRANSICAO!$Z$42*CUSTOS!$T$3</f>
        <v>0</v>
      </c>
      <c r="AA42" s="13">
        <f>TRANSICAO!$AA$42*CUSTOS!$T$3</f>
        <v>0</v>
      </c>
      <c r="AB42" s="13">
        <f>TRANSICAO!$AB$42*CUSTOS!$T$3</f>
        <v>0</v>
      </c>
      <c r="AC42" s="13">
        <f>TRANSICAO!$AC$42*CUSTOS!$T$3</f>
        <v>509.36290000000002</v>
      </c>
      <c r="AD42" s="13">
        <f>TRANSICAO!$AD$42*CUSTOS!$T$3</f>
        <v>0</v>
      </c>
      <c r="AE42" s="13">
        <v>0</v>
      </c>
      <c r="AF42" s="13">
        <v>0</v>
      </c>
      <c r="AG42" s="13"/>
      <c r="AH42" s="13">
        <f>(1 - CUSTOS!$M$28)*17.7724</f>
        <v>17.772400000000001</v>
      </c>
      <c r="AI42" s="13">
        <f>(1 - CUSTOS!$M$28)*17.7724</f>
        <v>17.772400000000001</v>
      </c>
      <c r="AJ42" s="13">
        <f ca="1">$N$64*(1-CUSTOS!$M$28)</f>
        <v>0</v>
      </c>
      <c r="AK42" s="13">
        <f t="shared" ca="1" si="0"/>
        <v>0</v>
      </c>
      <c r="AL42" s="13"/>
      <c r="AM42" s="13"/>
      <c r="AP42" s="13">
        <f>IF((1 - CUSTOS!$M$28)&lt;&gt;0,1/(1 - CUSTOS!$M$28),1)</f>
        <v>1</v>
      </c>
    </row>
    <row r="43" spans="1:42" ht="11.25" customHeight="1" x14ac:dyDescent="0.3">
      <c r="A43" s="92"/>
      <c r="B43" s="92"/>
      <c r="C43" s="92"/>
      <c r="D43" s="17" t="s">
        <v>85</v>
      </c>
      <c r="E43" s="17" t="s">
        <v>25</v>
      </c>
      <c r="F43" s="17" t="s">
        <v>25</v>
      </c>
      <c r="G43" s="18" t="s">
        <v>75</v>
      </c>
      <c r="H43" s="18" t="s">
        <v>69</v>
      </c>
      <c r="I43" s="18">
        <f>'MERCADO TUSD'!$U$40</f>
        <v>0</v>
      </c>
      <c r="J43" s="15"/>
      <c r="L43" s="13">
        <f>1*(1 - CUSTOS!$M$29)</f>
        <v>1</v>
      </c>
      <c r="M43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CUSTOS!$M$29)</f>
        <v>2.1282125343337257</v>
      </c>
      <c r="N43" s="13">
        <f ca="1">(+M43+O43+R43+U43+V43+W43+X43+Y43+Z43+AA43+AC43+AH43+AI43+AJ43+AK43)*CUSTOS!$M$5</f>
        <v>6.5657511253433359E-12</v>
      </c>
      <c r="O43" s="13">
        <f>1 - CUSTOS!$M$29</f>
        <v>1</v>
      </c>
      <c r="P43" s="13">
        <f>1 - CUSTOS!$M$29</f>
        <v>1</v>
      </c>
      <c r="Q43" s="13">
        <f>1*(1 - CUSTOS!$M$29)</f>
        <v>1</v>
      </c>
      <c r="R43" s="13">
        <f>1 - CUSTOS!$M$29</f>
        <v>1</v>
      </c>
      <c r="S43" s="13">
        <f>1 - CUSTOS!$M$29</f>
        <v>1</v>
      </c>
      <c r="T43" s="13"/>
      <c r="U43" s="13">
        <f>TRANSICAO!$U$43*CUSTOS!$T$3</f>
        <v>0</v>
      </c>
      <c r="V43" s="13">
        <f>TRANSICAO!$V$43*CUSTOS!$T$3</f>
        <v>0</v>
      </c>
      <c r="W43" s="13">
        <f>TRANSICAO!$W$43*CUSTOS!$T$3</f>
        <v>0</v>
      </c>
      <c r="X43" s="13">
        <f>TRANSICAO!$X$43*CUSTOS!$T$3</f>
        <v>0</v>
      </c>
      <c r="Y43" s="13">
        <f>TRANSICAO!$Y$43*CUSTOS!$T$3</f>
        <v>107.53919999999999</v>
      </c>
      <c r="Z43" s="13">
        <f>TRANSICAO!$Z$43*CUSTOS!$T$3</f>
        <v>0</v>
      </c>
      <c r="AA43" s="13">
        <f>TRANSICAO!$AA$43*CUSTOS!$T$3</f>
        <v>0</v>
      </c>
      <c r="AB43" s="13">
        <f>TRANSICAO!$AB$43*CUSTOS!$T$3</f>
        <v>0</v>
      </c>
      <c r="AC43" s="13">
        <f>TRANSICAO!$AC$43*CUSTOS!$T$3</f>
        <v>509.36290000000002</v>
      </c>
      <c r="AD43" s="13">
        <f>TRANSICAO!$AD$43*CUSTOS!$T$3</f>
        <v>0</v>
      </c>
      <c r="AE43" s="13">
        <v>0</v>
      </c>
      <c r="AF43" s="13">
        <v>0</v>
      </c>
      <c r="AG43" s="13"/>
      <c r="AH43" s="13">
        <f>(1 - CUSTOS!$M$29)*17.7724</f>
        <v>17.772400000000001</v>
      </c>
      <c r="AI43" s="13">
        <f>(1 - CUSTOS!$M$29)*17.7724</f>
        <v>17.772400000000001</v>
      </c>
      <c r="AJ43" s="13">
        <f ca="1">$N$64*(1-CUSTOS!$M$29)</f>
        <v>0</v>
      </c>
      <c r="AK43" s="13">
        <f t="shared" ca="1" si="0"/>
        <v>0</v>
      </c>
      <c r="AL43" s="13"/>
      <c r="AM43" s="13"/>
      <c r="AP43" s="13">
        <f>IF((1 - CUSTOS!$M$29)&lt;&gt;0,1/(1 - CUSTOS!$M$29),1)</f>
        <v>1</v>
      </c>
    </row>
    <row r="44" spans="1:42" ht="11.25" customHeight="1" x14ac:dyDescent="0.3">
      <c r="A44" s="92"/>
      <c r="B44" s="92"/>
      <c r="C44" s="92"/>
      <c r="D44" s="17" t="s">
        <v>86</v>
      </c>
      <c r="E44" s="17" t="s">
        <v>25</v>
      </c>
      <c r="F44" s="17" t="s">
        <v>25</v>
      </c>
      <c r="G44" s="18" t="s">
        <v>75</v>
      </c>
      <c r="H44" s="18" t="s">
        <v>69</v>
      </c>
      <c r="I44" s="18">
        <f>'MERCADO TUSD'!$U$41</f>
        <v>0</v>
      </c>
      <c r="J44" s="15"/>
      <c r="L44" s="13">
        <f>1*(1 - CUSTOS!$M$30)</f>
        <v>1</v>
      </c>
      <c r="M44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CUSTOS!$M$30)</f>
        <v>2.1282125343337257</v>
      </c>
      <c r="N44" s="13">
        <f ca="1">(+M44+O44+R44+U44+V44+W44+X44+Y44+Z44+AA44+AC44+AH44+AI44+AJ44+AK44)*CUSTOS!$M$5</f>
        <v>6.5657511253433359E-12</v>
      </c>
      <c r="O44" s="13">
        <f>1 - CUSTOS!$M$30</f>
        <v>1</v>
      </c>
      <c r="P44" s="13">
        <f>1 - CUSTOS!$M$30</f>
        <v>1</v>
      </c>
      <c r="Q44" s="13">
        <f>1*(1 - CUSTOS!$M$30)</f>
        <v>1</v>
      </c>
      <c r="R44" s="13">
        <f>1 - CUSTOS!$M$30</f>
        <v>1</v>
      </c>
      <c r="S44" s="13">
        <f>1 - CUSTOS!$M$30</f>
        <v>1</v>
      </c>
      <c r="T44" s="13"/>
      <c r="U44" s="13">
        <f>TRANSICAO!$U$44*CUSTOS!$T$3</f>
        <v>0</v>
      </c>
      <c r="V44" s="13">
        <f>TRANSICAO!$V$44*CUSTOS!$T$3</f>
        <v>0</v>
      </c>
      <c r="W44" s="13">
        <f>TRANSICAO!$W$44*CUSTOS!$T$3</f>
        <v>0</v>
      </c>
      <c r="X44" s="13">
        <f>TRANSICAO!$X$44*CUSTOS!$T$3</f>
        <v>0</v>
      </c>
      <c r="Y44" s="13">
        <f>TRANSICAO!$Y$44*CUSTOS!$T$3</f>
        <v>107.53919999999999</v>
      </c>
      <c r="Z44" s="13">
        <f>TRANSICAO!$Z$44*CUSTOS!$T$3</f>
        <v>0</v>
      </c>
      <c r="AA44" s="13">
        <f>TRANSICAO!$AA$44*CUSTOS!$T$3</f>
        <v>0</v>
      </c>
      <c r="AB44" s="13">
        <f>TRANSICAO!$AB$44*CUSTOS!$T$3</f>
        <v>0</v>
      </c>
      <c r="AC44" s="13">
        <f>TRANSICAO!$AC$44*CUSTOS!$T$3</f>
        <v>509.36290000000002</v>
      </c>
      <c r="AD44" s="13">
        <f>TRANSICAO!$AD$44*CUSTOS!$T$3</f>
        <v>0</v>
      </c>
      <c r="AE44" s="13">
        <v>0</v>
      </c>
      <c r="AF44" s="13">
        <v>0</v>
      </c>
      <c r="AG44" s="13"/>
      <c r="AH44" s="13">
        <f>(1 - CUSTOS!$M$30)*17.7724</f>
        <v>17.772400000000001</v>
      </c>
      <c r="AI44" s="13">
        <f>(1 - CUSTOS!$M$30)*17.7724</f>
        <v>17.772400000000001</v>
      </c>
      <c r="AJ44" s="13">
        <f ca="1">$N$64*(1-CUSTOS!$M$30)</f>
        <v>0</v>
      </c>
      <c r="AK44" s="13">
        <f t="shared" ca="1" si="0"/>
        <v>0</v>
      </c>
      <c r="AL44" s="13"/>
      <c r="AM44" s="13"/>
      <c r="AP44" s="13">
        <f>IF((1 - CUSTOS!$M$30)&lt;&gt;0,1/(1 - CUSTOS!$M$30),1)</f>
        <v>1</v>
      </c>
    </row>
    <row r="45" spans="1:42" ht="11.25" customHeight="1" x14ac:dyDescent="0.3">
      <c r="A45" s="92" t="s">
        <v>33</v>
      </c>
      <c r="B45" s="92" t="s">
        <v>39</v>
      </c>
      <c r="C45" s="92" t="s">
        <v>25</v>
      </c>
      <c r="D45" s="92" t="s">
        <v>25</v>
      </c>
      <c r="E45" s="92" t="s">
        <v>25</v>
      </c>
      <c r="F45" s="92" t="s">
        <v>25</v>
      </c>
      <c r="G45" s="18" t="s">
        <v>70</v>
      </c>
      <c r="H45" s="18" t="s">
        <v>69</v>
      </c>
      <c r="I45" s="18">
        <f>'MERCADO TUSD'!$U$42</f>
        <v>1.0529999999999999</v>
      </c>
      <c r="J45" s="15"/>
      <c r="L45" s="13">
        <f>1*(1 - CUSTOS!$M$31)</f>
        <v>1</v>
      </c>
      <c r="M45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2.1282125343337257</v>
      </c>
      <c r="N45" s="13">
        <f ca="1">(+M45+O45+R45+U45+V45+W45+X45+Y45+Z45+AA45+AC45+AH45+AI45+AJ45+AK45)*CUSTOS!$M$5</f>
        <v>2.1371034125343336E-11</v>
      </c>
      <c r="O45" s="13">
        <f>1 - CUSTOS!$M$31</f>
        <v>1</v>
      </c>
      <c r="P45" s="13">
        <f>1 - CUSTOS!$M$31</f>
        <v>1</v>
      </c>
      <c r="Q45" s="13">
        <f>1*(1 - CUSTOS!$M$31)</f>
        <v>1</v>
      </c>
      <c r="R45" s="13">
        <f>1 - CUSTOS!$M$31</f>
        <v>1</v>
      </c>
      <c r="S45" s="13">
        <f>1 - CUSTOS!$M$31</f>
        <v>1</v>
      </c>
      <c r="T45" s="13"/>
      <c r="U45" s="13">
        <f>TRANSICAO!$U$45*CUSTOS!$T$3</f>
        <v>0</v>
      </c>
      <c r="V45" s="13">
        <f>TRANSICAO!$V$45*CUSTOS!$T$3</f>
        <v>0</v>
      </c>
      <c r="W45" s="13">
        <f>TRANSICAO!$W$45*CUSTOS!$T$3</f>
        <v>0</v>
      </c>
      <c r="X45" s="13">
        <f>TRANSICAO!$X$45*CUSTOS!$T$3</f>
        <v>0</v>
      </c>
      <c r="Y45" s="13">
        <f>TRANSICAO!$Y$45*CUSTOS!$T$3</f>
        <v>365.59660000000002</v>
      </c>
      <c r="Z45" s="13">
        <f>TRANSICAO!$Z$45*CUSTOS!$T$3</f>
        <v>0</v>
      </c>
      <c r="AA45" s="13">
        <f>TRANSICAO!$AA$45*CUSTOS!$T$3</f>
        <v>0</v>
      </c>
      <c r="AB45" s="13">
        <f>TRANSICAO!$AB$45*CUSTOS!$T$3</f>
        <v>0</v>
      </c>
      <c r="AC45" s="13">
        <f>TRANSICAO!$AC$45*CUSTOS!$T$3</f>
        <v>1731.8338000000001</v>
      </c>
      <c r="AD45" s="13">
        <f>TRANSICAO!$AD$45*CUSTOS!$T$3</f>
        <v>0</v>
      </c>
      <c r="AE45" s="13">
        <v>0</v>
      </c>
      <c r="AF45" s="13">
        <v>0</v>
      </c>
      <c r="AG45" s="13"/>
      <c r="AH45" s="13">
        <f>(1 - CUSTOS!$M$31)*17.7724</f>
        <v>17.772400000000001</v>
      </c>
      <c r="AI45" s="13">
        <f>(1 - CUSTOS!$M$31)*17.7724</f>
        <v>17.772400000000001</v>
      </c>
      <c r="AJ45" s="13">
        <f ca="1">$N$64*(1-CUSTOS!$M$31)</f>
        <v>0</v>
      </c>
      <c r="AK45" s="13">
        <f t="shared" ca="1" si="0"/>
        <v>0</v>
      </c>
      <c r="AL45" s="13"/>
      <c r="AM45" s="13"/>
      <c r="AP45" s="13">
        <f>IF((1 - CUSTOS!$M$31)&lt;&gt;0,1/(1 - CUSTOS!$M$31),1)</f>
        <v>1</v>
      </c>
    </row>
    <row r="46" spans="1:42" ht="11.25" customHeight="1" x14ac:dyDescent="0.3">
      <c r="A46" s="92"/>
      <c r="B46" s="92"/>
      <c r="C46" s="92"/>
      <c r="D46" s="92"/>
      <c r="E46" s="92"/>
      <c r="F46" s="92"/>
      <c r="G46" s="18" t="s">
        <v>81</v>
      </c>
      <c r="H46" s="18" t="s">
        <v>69</v>
      </c>
      <c r="I46" s="18">
        <f>'MERCADO TUSD'!$U$43</f>
        <v>2.1969999999999996</v>
      </c>
      <c r="J46" s="15"/>
      <c r="L46" s="13">
        <f>1*(1 - CUSTOS!$M$31)</f>
        <v>1</v>
      </c>
      <c r="M46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2.1282125343337257</v>
      </c>
      <c r="N46" s="13">
        <f ca="1">(+M46+O46+R46+U46+V46+W46+X46+Y46+Z46+AA46+AC46+AH46+AI46+AJ46+AK46)*CUSTOS!$M$5</f>
        <v>1.2980700125343339E-11</v>
      </c>
      <c r="O46" s="13">
        <f>1 - CUSTOS!$M$31</f>
        <v>1</v>
      </c>
      <c r="P46" s="13">
        <f>1 - CUSTOS!$M$31</f>
        <v>1</v>
      </c>
      <c r="Q46" s="13">
        <f>1*(1 - CUSTOS!$M$31)</f>
        <v>1</v>
      </c>
      <c r="R46" s="13">
        <f>1 - CUSTOS!$M$31</f>
        <v>1</v>
      </c>
      <c r="S46" s="13">
        <f>1 - CUSTOS!$M$31</f>
        <v>1</v>
      </c>
      <c r="T46" s="13"/>
      <c r="U46" s="13">
        <f>TRANSICAO!$U$46*CUSTOS!$T$3</f>
        <v>0</v>
      </c>
      <c r="V46" s="13">
        <f>TRANSICAO!$V$46*CUSTOS!$T$3</f>
        <v>0</v>
      </c>
      <c r="W46" s="13">
        <f>TRANSICAO!$W$46*CUSTOS!$T$3</f>
        <v>0</v>
      </c>
      <c r="X46" s="13">
        <f>TRANSICAO!$X$46*CUSTOS!$T$3</f>
        <v>0</v>
      </c>
      <c r="Y46" s="13">
        <f>TRANSICAO!$Y$46*CUSTOS!$T$3</f>
        <v>219.29679999999999</v>
      </c>
      <c r="Z46" s="13">
        <f>TRANSICAO!$Z$46*CUSTOS!$T$3</f>
        <v>0</v>
      </c>
      <c r="AA46" s="13">
        <f>TRANSICAO!$AA$46*CUSTOS!$T$3</f>
        <v>0</v>
      </c>
      <c r="AB46" s="13">
        <f>TRANSICAO!$AB$46*CUSTOS!$T$3</f>
        <v>0</v>
      </c>
      <c r="AC46" s="13">
        <f>TRANSICAO!$AC$46*CUSTOS!$T$3</f>
        <v>1039.1002000000001</v>
      </c>
      <c r="AD46" s="13">
        <f>TRANSICAO!$AD$46*CUSTOS!$T$3</f>
        <v>0</v>
      </c>
      <c r="AE46" s="13">
        <v>0</v>
      </c>
      <c r="AF46" s="13">
        <v>0</v>
      </c>
      <c r="AG46" s="13"/>
      <c r="AH46" s="13">
        <f>(1 - CUSTOS!$M$31)*17.7724</f>
        <v>17.772400000000001</v>
      </c>
      <c r="AI46" s="13">
        <f>(1 - CUSTOS!$M$31)*17.7724</f>
        <v>17.772400000000001</v>
      </c>
      <c r="AJ46" s="13">
        <f ca="1">$N$64*(1-CUSTOS!$M$31)</f>
        <v>0</v>
      </c>
      <c r="AK46" s="13">
        <f t="shared" ca="1" si="0"/>
        <v>0</v>
      </c>
      <c r="AL46" s="13"/>
      <c r="AM46" s="13"/>
      <c r="AP46" s="13">
        <f>IF((1 - CUSTOS!$M$31)&lt;&gt;0,1/(1 - CUSTOS!$M$31),1)</f>
        <v>1</v>
      </c>
    </row>
    <row r="47" spans="1:42" ht="11.25" customHeight="1" x14ac:dyDescent="0.3">
      <c r="A47" s="92"/>
      <c r="B47" s="92"/>
      <c r="C47" s="92"/>
      <c r="D47" s="92"/>
      <c r="E47" s="92"/>
      <c r="F47" s="92"/>
      <c r="G47" s="18" t="s">
        <v>71</v>
      </c>
      <c r="H47" s="18" t="s">
        <v>69</v>
      </c>
      <c r="I47" s="18">
        <f>'MERCADO TUSD'!$U$44</f>
        <v>373.07</v>
      </c>
      <c r="J47" s="15"/>
      <c r="L47" s="13">
        <f>1*(1 - CUSTOS!$M$31)</f>
        <v>1</v>
      </c>
      <c r="M47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2.1282125343337257</v>
      </c>
      <c r="N47" s="13">
        <f ca="1">(+M47+O47+R47+U47+V47+W47+X47+Y47+Z47+AA47+AC47+AH47+AI47+AJ47+AK47)*CUSTOS!$M$5</f>
        <v>4.5915941253433371E-12</v>
      </c>
      <c r="O47" s="13">
        <f>1 - CUSTOS!$M$31</f>
        <v>1</v>
      </c>
      <c r="P47" s="13">
        <f>1 - CUSTOS!$M$31</f>
        <v>1</v>
      </c>
      <c r="Q47" s="13">
        <f>1*(1 - CUSTOS!$M$31)</f>
        <v>1</v>
      </c>
      <c r="R47" s="13">
        <f>1 - CUSTOS!$M$31</f>
        <v>1</v>
      </c>
      <c r="S47" s="13">
        <f>1 - CUSTOS!$M$31</f>
        <v>1</v>
      </c>
      <c r="T47" s="13"/>
      <c r="U47" s="13">
        <f>TRANSICAO!$U$47*CUSTOS!$T$3</f>
        <v>0</v>
      </c>
      <c r="V47" s="13">
        <f>TRANSICAO!$V$47*CUSTOS!$T$3</f>
        <v>0</v>
      </c>
      <c r="W47" s="13">
        <f>TRANSICAO!$W$47*CUSTOS!$T$3</f>
        <v>0</v>
      </c>
      <c r="X47" s="13">
        <f>TRANSICAO!$X$47*CUSTOS!$T$3</f>
        <v>0</v>
      </c>
      <c r="Y47" s="13">
        <f>TRANSICAO!$Y$47*CUSTOS!$T$3</f>
        <v>73.119299999999996</v>
      </c>
      <c r="Z47" s="13">
        <f>TRANSICAO!$Z$47*CUSTOS!$T$3</f>
        <v>0</v>
      </c>
      <c r="AA47" s="13">
        <f>TRANSICAO!$AA$47*CUSTOS!$T$3</f>
        <v>0</v>
      </c>
      <c r="AB47" s="13">
        <f>TRANSICAO!$AB$47*CUSTOS!$T$3</f>
        <v>0</v>
      </c>
      <c r="AC47" s="13">
        <f>TRANSICAO!$AC$47*CUSTOS!$T$3</f>
        <v>346.36709999999999</v>
      </c>
      <c r="AD47" s="13">
        <f>TRANSICAO!$AD$47*CUSTOS!$T$3</f>
        <v>0</v>
      </c>
      <c r="AE47" s="13">
        <v>0</v>
      </c>
      <c r="AF47" s="13">
        <v>0</v>
      </c>
      <c r="AG47" s="13"/>
      <c r="AH47" s="13">
        <f>(1 - CUSTOS!$M$31)*17.7724</f>
        <v>17.772400000000001</v>
      </c>
      <c r="AI47" s="13">
        <f>(1 - CUSTOS!$M$31)*17.7724</f>
        <v>17.772400000000001</v>
      </c>
      <c r="AJ47" s="13">
        <f ca="1">$N$64*(1-CUSTOS!$M$31)</f>
        <v>0</v>
      </c>
      <c r="AK47" s="13">
        <f t="shared" ca="1" si="0"/>
        <v>0</v>
      </c>
      <c r="AL47" s="13"/>
      <c r="AM47" s="13"/>
      <c r="AP47" s="13">
        <f>IF((1 - CUSTOS!$M$31)&lt;&gt;0,1/(1 - CUSTOS!$M$31),1)</f>
        <v>1</v>
      </c>
    </row>
    <row r="48" spans="1:42" ht="11.25" customHeight="1" x14ac:dyDescent="0.3">
      <c r="A48" s="92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75</v>
      </c>
      <c r="H48" s="18" t="s">
        <v>69</v>
      </c>
      <c r="I48" s="18">
        <f>'MERCADO TUSD'!$U$45</f>
        <v>3199.5530000000003</v>
      </c>
      <c r="J48" s="15"/>
      <c r="L48" s="13">
        <f>1*(1 - CUSTOS!$M$31)</f>
        <v>1</v>
      </c>
      <c r="M48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2.1282125343337257</v>
      </c>
      <c r="N48" s="13">
        <f ca="1">(+M48+O48+R48+U48+V48+W48+X48+Y48+Z48+AA48+AC48+AH48+AI48+AJ48+AK48)*CUSTOS!$M$5</f>
        <v>6.5657511253433359E-12</v>
      </c>
      <c r="O48" s="13">
        <f>1 - CUSTOS!$M$31</f>
        <v>1</v>
      </c>
      <c r="P48" s="13">
        <f>1 - CUSTOS!$M$31</f>
        <v>1</v>
      </c>
      <c r="Q48" s="13">
        <f>1*(1 - CUSTOS!$M$31)</f>
        <v>1</v>
      </c>
      <c r="R48" s="13">
        <f>1 - CUSTOS!$M$31</f>
        <v>1</v>
      </c>
      <c r="S48" s="13">
        <f>1 - CUSTOS!$M$31</f>
        <v>1</v>
      </c>
      <c r="T48" s="13"/>
      <c r="U48" s="13">
        <f>TRANSICAO!$U$48*CUSTOS!$T$3</f>
        <v>0</v>
      </c>
      <c r="V48" s="13">
        <f>TRANSICAO!$V$48*CUSTOS!$T$3</f>
        <v>0</v>
      </c>
      <c r="W48" s="13">
        <f>TRANSICAO!$W$48*CUSTOS!$T$3</f>
        <v>0</v>
      </c>
      <c r="X48" s="13">
        <f>TRANSICAO!$X$48*CUSTOS!$T$3</f>
        <v>0</v>
      </c>
      <c r="Y48" s="13">
        <f>TRANSICAO!$Y$48*CUSTOS!$T$3</f>
        <v>107.53919999999999</v>
      </c>
      <c r="Z48" s="13">
        <f>TRANSICAO!$Z$48*CUSTOS!$T$3</f>
        <v>0</v>
      </c>
      <c r="AA48" s="13">
        <f>TRANSICAO!$AA$48*CUSTOS!$T$3</f>
        <v>0</v>
      </c>
      <c r="AB48" s="13">
        <f>TRANSICAO!$AB$48*CUSTOS!$T$3</f>
        <v>0</v>
      </c>
      <c r="AC48" s="13">
        <f>TRANSICAO!$AC$48*CUSTOS!$T$3</f>
        <v>509.36290000000002</v>
      </c>
      <c r="AD48" s="13">
        <f>TRANSICAO!$AD$48*CUSTOS!$T$3</f>
        <v>0</v>
      </c>
      <c r="AE48" s="13">
        <v>0</v>
      </c>
      <c r="AF48" s="13">
        <v>0</v>
      </c>
      <c r="AG48" s="13"/>
      <c r="AH48" s="13">
        <f>(1 - CUSTOS!$M$31)*17.7724</f>
        <v>17.772400000000001</v>
      </c>
      <c r="AI48" s="13">
        <f>(1 - CUSTOS!$M$31)*17.7724</f>
        <v>17.772400000000001</v>
      </c>
      <c r="AJ48" s="13">
        <f ca="1">$N$64*(1-CUSTOS!$M$31)</f>
        <v>0</v>
      </c>
      <c r="AK48" s="13">
        <f t="shared" ca="1" si="0"/>
        <v>0</v>
      </c>
      <c r="AL48" s="13"/>
      <c r="AM48" s="13"/>
      <c r="AP48" s="13">
        <f>IF((1 - CUSTOS!$M$31)&lt;&gt;0,1/(1 - CUSTOS!$M$31),1)</f>
        <v>1</v>
      </c>
    </row>
    <row r="49" spans="1:42" ht="11.25" customHeight="1" x14ac:dyDescent="0.3">
      <c r="A49" s="92"/>
      <c r="B49" s="17" t="s">
        <v>84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75</v>
      </c>
      <c r="H49" s="18" t="s">
        <v>69</v>
      </c>
      <c r="I49" s="18">
        <f>'MERCADO TUSD'!$U$46</f>
        <v>0</v>
      </c>
      <c r="J49" s="15"/>
      <c r="L49" s="13">
        <f>1*(1 - CUSTOS!$M$31)</f>
        <v>1</v>
      </c>
      <c r="M49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CUSTOS!$M$31)</f>
        <v>2.1282125343337257</v>
      </c>
      <c r="N49" s="13">
        <f ca="1">(+M49+O49+R49+U49+V49+W49+X49+Y49+Z49+AA49+AC49+AH49+AI49+AJ49+AK49)*CUSTOS!$M$5</f>
        <v>6.5657511253433359E-12</v>
      </c>
      <c r="O49" s="13">
        <f>1 - CUSTOS!$M$31</f>
        <v>1</v>
      </c>
      <c r="P49" s="13">
        <f>1 - CUSTOS!$M$31</f>
        <v>1</v>
      </c>
      <c r="Q49" s="13">
        <f>1*(1 - CUSTOS!$M$31)</f>
        <v>1</v>
      </c>
      <c r="R49" s="13">
        <f>1 - CUSTOS!$M$31</f>
        <v>1</v>
      </c>
      <c r="S49" s="13">
        <f>1 - CUSTOS!$M$31</f>
        <v>1</v>
      </c>
      <c r="T49" s="13"/>
      <c r="U49" s="13">
        <f>TRANSICAO!$U$49*CUSTOS!$T$3</f>
        <v>0</v>
      </c>
      <c r="V49" s="13">
        <f>TRANSICAO!$V$49*CUSTOS!$T$3</f>
        <v>0</v>
      </c>
      <c r="W49" s="13">
        <f>TRANSICAO!$W$49*CUSTOS!$T$3</f>
        <v>0</v>
      </c>
      <c r="X49" s="13">
        <f>TRANSICAO!$X$49*CUSTOS!$T$3</f>
        <v>0</v>
      </c>
      <c r="Y49" s="13">
        <f>TRANSICAO!$Y$49*CUSTOS!$T$3</f>
        <v>107.53919999999999</v>
      </c>
      <c r="Z49" s="13">
        <f>TRANSICAO!$Z$49*CUSTOS!$T$3</f>
        <v>0</v>
      </c>
      <c r="AA49" s="13">
        <f>TRANSICAO!$AA$49*CUSTOS!$T$3</f>
        <v>0</v>
      </c>
      <c r="AB49" s="13">
        <f>TRANSICAO!$AB$49*CUSTOS!$T$3</f>
        <v>0</v>
      </c>
      <c r="AC49" s="13">
        <f>TRANSICAO!$AC$49*CUSTOS!$T$3</f>
        <v>509.36290000000002</v>
      </c>
      <c r="AD49" s="13">
        <f>TRANSICAO!$AD$49*CUSTOS!$T$3</f>
        <v>0</v>
      </c>
      <c r="AE49" s="13">
        <v>0</v>
      </c>
      <c r="AF49" s="13">
        <v>0</v>
      </c>
      <c r="AG49" s="13"/>
      <c r="AH49" s="13">
        <f>(1 - CUSTOS!$M$31)*17.7724</f>
        <v>17.772400000000001</v>
      </c>
      <c r="AI49" s="13">
        <f>(1 - CUSTOS!$M$31)*17.7724</f>
        <v>17.772400000000001</v>
      </c>
      <c r="AJ49" s="13">
        <f ca="1">$N$64*(1-CUSTOS!$M$31)</f>
        <v>0</v>
      </c>
      <c r="AK49" s="13">
        <f t="shared" ca="1" si="0"/>
        <v>0</v>
      </c>
      <c r="AL49" s="13"/>
      <c r="AM49" s="13"/>
      <c r="AP49" s="13">
        <f>IF((1 - CUSTOS!$M$31)&lt;&gt;0,1/(1 - CUSTOS!$M$31),1)</f>
        <v>1</v>
      </c>
    </row>
    <row r="50" spans="1:42" ht="11.25" customHeight="1" x14ac:dyDescent="0.3">
      <c r="A50" s="92" t="s">
        <v>45</v>
      </c>
      <c r="B50" s="92" t="s">
        <v>23</v>
      </c>
      <c r="C50" s="92" t="s">
        <v>46</v>
      </c>
      <c r="D50" s="17" t="s">
        <v>47</v>
      </c>
      <c r="E50" s="17" t="s">
        <v>25</v>
      </c>
      <c r="F50" s="17" t="s">
        <v>25</v>
      </c>
      <c r="G50" s="18" t="s">
        <v>75</v>
      </c>
      <c r="H50" s="18" t="s">
        <v>69</v>
      </c>
      <c r="I50" s="18">
        <f>'MERCADO TUSD'!$U$47</f>
        <v>1010.7439999999999</v>
      </c>
      <c r="J50" s="15"/>
      <c r="L50" s="13">
        <f>1*(1 - CUSTOS!$M$32)</f>
        <v>0.55000000000000004</v>
      </c>
      <c r="M50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CUSTOS!$M$32)</f>
        <v>1.1705168938835493</v>
      </c>
      <c r="N50" s="13">
        <f ca="1">(+M50+O50+R50+U50+V50+W50+X50+Y50+Z50+AA50+AC50+AH50+AI50+AJ50+AK50)*CUSTOS!$M$5</f>
        <v>3.6111631189388356E-12</v>
      </c>
      <c r="O50" s="13">
        <f>1 - CUSTOS!$M$32</f>
        <v>0.55000000000000004</v>
      </c>
      <c r="P50" s="13">
        <f>1 - CUSTOS!$M$32</f>
        <v>0.55000000000000004</v>
      </c>
      <c r="Q50" s="13">
        <f>1*(1 - CUSTOS!$M$32)</f>
        <v>0.55000000000000004</v>
      </c>
      <c r="R50" s="13">
        <f>1 - CUSTOS!$M$32</f>
        <v>0.55000000000000004</v>
      </c>
      <c r="S50" s="13">
        <f>1 - CUSTOS!$M$32</f>
        <v>0.55000000000000004</v>
      </c>
      <c r="T50" s="13"/>
      <c r="U50" s="13">
        <f>TRANSICAO!$U$50*CUSTOS!$T$3</f>
        <v>0</v>
      </c>
      <c r="V50" s="13">
        <f>TRANSICAO!$V$50*CUSTOS!$T$3</f>
        <v>0</v>
      </c>
      <c r="W50" s="13">
        <f>TRANSICAO!$W$50*CUSTOS!$T$3</f>
        <v>0</v>
      </c>
      <c r="X50" s="13">
        <f>TRANSICAO!$X$50*CUSTOS!$T$3</f>
        <v>0</v>
      </c>
      <c r="Y50" s="13">
        <f>TRANSICAO!$Y$50*CUSTOS!$T$3</f>
        <v>59.146560000000001</v>
      </c>
      <c r="Z50" s="13">
        <f>TRANSICAO!$Z$50*CUSTOS!$T$3</f>
        <v>0</v>
      </c>
      <c r="AA50" s="13">
        <f>TRANSICAO!$AA$50*CUSTOS!$T$3</f>
        <v>0</v>
      </c>
      <c r="AB50" s="13">
        <f>TRANSICAO!$AB$50*CUSTOS!$T$3</f>
        <v>0</v>
      </c>
      <c r="AC50" s="13">
        <f>TRANSICAO!$AC$50*CUSTOS!$T$3</f>
        <v>280.14959500000003</v>
      </c>
      <c r="AD50" s="13">
        <f>TRANSICAO!$AD$50*CUSTOS!$T$3</f>
        <v>0</v>
      </c>
      <c r="AE50" s="13">
        <v>0</v>
      </c>
      <c r="AF50" s="13">
        <v>0</v>
      </c>
      <c r="AG50" s="13"/>
      <c r="AH50" s="13">
        <f>(1 - CUSTOS!$M$32)*17.7724</f>
        <v>9.7748200000000018</v>
      </c>
      <c r="AI50" s="13">
        <f>(1 - CUSTOS!$M$32)*17.7724</f>
        <v>9.7748200000000018</v>
      </c>
      <c r="AJ50" s="13">
        <f ca="1">$N$64*(1-CUSTOS!$M$32)</f>
        <v>0</v>
      </c>
      <c r="AK50" s="13">
        <f t="shared" ca="1" si="0"/>
        <v>0</v>
      </c>
      <c r="AL50" s="13"/>
      <c r="AM50" s="13"/>
      <c r="AP50" s="13">
        <f>IF((1 - CUSTOS!$M$32)&lt;&gt;0,1/(1 - CUSTOS!$M$32),1)</f>
        <v>1.8181818181818181</v>
      </c>
    </row>
    <row r="51" spans="1:42" ht="11.25" customHeight="1" x14ac:dyDescent="0.3">
      <c r="A51" s="92"/>
      <c r="B51" s="92"/>
      <c r="C51" s="92"/>
      <c r="D51" s="18" t="s">
        <v>87</v>
      </c>
      <c r="E51" s="18" t="s">
        <v>25</v>
      </c>
      <c r="F51" s="18" t="s">
        <v>25</v>
      </c>
      <c r="G51" s="18" t="s">
        <v>75</v>
      </c>
      <c r="H51" s="18" t="s">
        <v>69</v>
      </c>
      <c r="I51" s="18">
        <f>'MERCADO TUSD'!$U$48</f>
        <v>0</v>
      </c>
      <c r="J51" s="15"/>
      <c r="L51" s="13">
        <f>1*(1 - CUSTOS!$M$33)</f>
        <v>0.6</v>
      </c>
      <c r="M51" s="13">
        <f>IF(AND((+$I$17+$I$18+$I$19+$I$20+$I$21+$I$22+$I$23+$I$24+$I$25+$I$26+$I$27+$I$28+$I$29+$I$30+$I$31+$I$32+$I$33+$I$34+$I$35+$I$36+$I$37+$I$38+$I$39+$I$40+$I$41+$I$42+$I$43+$I$44+$I$45+$I$46+$I$47+$I$48+$I$49+$I$50+$I$51)&lt;&gt;0,SUMPRODUCT($I$5:$I$51,$AC$5:$AC$51,$AP$5:$AP$51)&lt;&gt;0),$M$56*SUMPRODUCT($I$17:$I$51,$AC$17:$AC$51,$AP$17:$AP$51)/SUMPRODUCT($I$5:$I$51,$AC$5:$AC$51,$AP$5:$AP$51)/(+$I$17+$I$18+$I$19+$I$20+$I$21+$I$22+$I$23+$I$24+$I$25+$I$26+$I$27+$I$28+$I$29+$I$30+$I$31+$I$32+$I$33+$I$34+$I$35+$I$36+$I$37+$I$38+$I$39+$I$40+$I$41+$I$42+$I$43+$I$44+$I$45+$I$46+$I$47+$I$48+$I$49+$I$50+$I$51),0)*(1 - CUSTOS!$M$33)</f>
        <v>1.2769275206002353</v>
      </c>
      <c r="N51" s="13">
        <f ca="1">(+M51+O51+R51+U51+V51+W51+X51+Y51+Z51+AA51+AC51+AH51+AI51+AJ51+AK51)*CUSTOS!$M$5</f>
        <v>3.939450675206002E-12</v>
      </c>
      <c r="O51" s="13">
        <f>1 - CUSTOS!$M$33</f>
        <v>0.6</v>
      </c>
      <c r="P51" s="13">
        <f>1 - CUSTOS!$M$33</f>
        <v>0.6</v>
      </c>
      <c r="Q51" s="13">
        <f>1*(1 - CUSTOS!$M$33)</f>
        <v>0.6</v>
      </c>
      <c r="R51" s="13">
        <f>1 - CUSTOS!$M$33</f>
        <v>0.6</v>
      </c>
      <c r="S51" s="13">
        <f>1 - CUSTOS!$M$33</f>
        <v>0.6</v>
      </c>
      <c r="T51" s="13"/>
      <c r="U51" s="13">
        <f>TRANSICAO!$U$51*CUSTOS!$T$3</f>
        <v>0</v>
      </c>
      <c r="V51" s="13">
        <f>TRANSICAO!$V$51*CUSTOS!$T$3</f>
        <v>0</v>
      </c>
      <c r="W51" s="13">
        <f>TRANSICAO!$W$51*CUSTOS!$T$3</f>
        <v>0</v>
      </c>
      <c r="X51" s="13">
        <f>TRANSICAO!$X$51*CUSTOS!$T$3</f>
        <v>0</v>
      </c>
      <c r="Y51" s="13">
        <f>TRANSICAO!$Y$51*CUSTOS!$T$3</f>
        <v>64.523519999999991</v>
      </c>
      <c r="Z51" s="13">
        <f>TRANSICAO!$Z$51*CUSTOS!$T$3</f>
        <v>0</v>
      </c>
      <c r="AA51" s="13">
        <f>TRANSICAO!$AA$51*CUSTOS!$T$3</f>
        <v>0</v>
      </c>
      <c r="AB51" s="13">
        <f>TRANSICAO!$AB$51*CUSTOS!$T$3</f>
        <v>0</v>
      </c>
      <c r="AC51" s="13">
        <f>TRANSICAO!$AC$51*CUSTOS!$T$3</f>
        <v>305.61774000000003</v>
      </c>
      <c r="AD51" s="13">
        <f>TRANSICAO!$AD$51*CUSTOS!$T$3</f>
        <v>0</v>
      </c>
      <c r="AE51" s="13">
        <v>0</v>
      </c>
      <c r="AF51" s="13">
        <v>0</v>
      </c>
      <c r="AG51" s="13"/>
      <c r="AH51" s="13">
        <f>(1 - CUSTOS!$M$33)*17.7724</f>
        <v>10.66344</v>
      </c>
      <c r="AI51" s="13">
        <f>(1 - CUSTOS!$M$33)*17.7724</f>
        <v>10.66344</v>
      </c>
      <c r="AJ51" s="13">
        <f ca="1">$N$64*(1-CUSTOS!$M$33)</f>
        <v>0</v>
      </c>
      <c r="AK51" s="13">
        <f t="shared" ca="1" si="0"/>
        <v>0</v>
      </c>
      <c r="AL51" s="13"/>
      <c r="AM51" s="13"/>
      <c r="AP51" s="13">
        <f>IF((1 - CUSTOS!$M$33)&lt;&gt;0,1/(1 - CUSTOS!$M$33),1)</f>
        <v>1.6666666666666667</v>
      </c>
    </row>
    <row r="53" spans="1:42" ht="11.25" customHeight="1" x14ac:dyDescent="0.3">
      <c r="K53" s="16" t="s">
        <v>527</v>
      </c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</row>
    <row r="54" spans="1:42" ht="11.25" customHeight="1" x14ac:dyDescent="0.3">
      <c r="K54" s="16" t="s">
        <v>528</v>
      </c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</row>
    <row r="55" spans="1:42" ht="11.25" customHeight="1" x14ac:dyDescent="0.3">
      <c r="K55" s="16" t="s">
        <v>529</v>
      </c>
      <c r="L55" s="13">
        <f>IF(ISERROR(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,0,+SUMPRODUCT($L$5:$L$8,$I$5:$I$8)+SUMPRODUCT($L$9:$L$9,$I$9:$I$9)+SUMPRODUCT($L$10:$L$14,$I$10:$I$14)+SUMPRODUCT($L$15:$L$16,$I$15:$I$16)+SUMPRODUCT($L$17:$L$19,$I$17:$I$19)+SUMPRODUCT($L$20:$L$24,$I$20:$I$24)+SUMPRODUCT($L$25:$L$29,$I$25:$I$29)+SUMPRODUCT($L$30:$L$32,$I$30:$I$32)+SUMPRODUCT($L$33:$L$33,$I$33:$I$33)+SUMPRODUCT($L$34:$L$36,$I$34:$I$36)+SUMPRODUCT($L$37:$L$37,$I$37:$I$37)+SUMPRODUCT($L$38:$L$40,$I$38:$I$40)+SUMPRODUCT($L$41:$L$41,$I$41:$I$41)+SUMPRODUCT($L$42:$L$44,$I$42:$I$44)+SUMPRODUCT($L$45:$L$47,$I$45:$I$47)+SUMPRODUCT($L$48:$L$48,$I$48:$I$48)+SUMPRODUCT($L$49:$L$49,$I$49:$I$49)+SUMPRODUCT($L$50:$L$51,$I$50:$I$51))</f>
        <v>39247.400160000005</v>
      </c>
      <c r="M55" s="13">
        <f>IF(ISERROR(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,0,+SUMPRODUCT($M$5:$M$8,$I$5:$I$8)+SUMPRODUCT($M$9:$M$9,$I$9:$I$9)+SUMPRODUCT($M$10:$M$14,$I$10:$I$14)+SUMPRODUCT($M$15:$M$16,$I$15:$I$16)+SUMPRODUCT($M$17:$M$19,$I$17:$I$19)+SUMPRODUCT($M$20:$M$24,$I$20:$I$24)+SUMPRODUCT($M$25:$M$29,$I$25:$I$29)+SUMPRODUCT($M$30:$M$32,$I$30:$I$32)+SUMPRODUCT($M$33:$M$33,$I$33:$I$33)+SUMPRODUCT($M$34:$M$36,$I$34:$I$36)+SUMPRODUCT($M$37:$M$37,$I$37:$I$37)+SUMPRODUCT($M$38:$M$40,$I$38:$I$40)+SUMPRODUCT($M$41:$M$41,$I$41:$I$41)+SUMPRODUCT($M$42:$M$44,$I$42:$I$44)+SUMPRODUCT($M$45:$M$47,$I$45:$I$47)+SUMPRODUCT($M$48:$M$48,$I$48:$I$48)+SUMPRODUCT($M$49:$M$49,$I$49:$I$49)+SUMPRODUCT($M$50:$M$51,$I$50:$I$51))</f>
        <v>59350.59370233104</v>
      </c>
      <c r="N55" s="13">
        <f ca="1">IF(ISERROR(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,0,+SUMPRODUCT($N$5:$N$8,$I$5:$I$8)+SUMPRODUCT($N$9:$N$9,$I$9:$I$9)+SUMPRODUCT($N$10:$N$14,$I$10:$I$14)+SUMPRODUCT($N$15:$N$16,$I$15:$I$16)+SUMPRODUCT($N$17:$N$19,$I$17:$I$19)+SUMPRODUCT($N$20:$N$24,$I$20:$I$24)+SUMPRODUCT($N$25:$N$29,$I$25:$I$29)+SUMPRODUCT($N$30:$N$32,$I$30:$I$32)+SUMPRODUCT($N$33:$N$33,$I$33:$I$33)+SUMPRODUCT($N$34:$N$36,$I$34:$I$36)+SUMPRODUCT($N$37:$N$37,$I$37:$I$37)+SUMPRODUCT($N$38:$N$40,$I$38:$I$40)+SUMPRODUCT($N$41:$N$41,$I$41:$I$41)+SUMPRODUCT($N$42:$N$44,$I$42:$I$44)+SUMPRODUCT($N$45:$N$47,$I$45:$I$47)+SUMPRODUCT($N$48:$N$48,$I$48:$I$48)+SUMPRODUCT($N$49:$N$49,$I$49:$I$49)+SUMPRODUCT($N$50:$N$51,$I$50:$I$51))</f>
        <v>1.4061763835524012E-7</v>
      </c>
      <c r="O55" s="13">
        <f>IF(ISERROR(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,0,+SUMPRODUCT($O$5:$O$8,$I$5:$I$8)+SUMPRODUCT($O$9:$O$9,$I$9:$I$9)+SUMPRODUCT($O$10:$O$14,$I$10:$I$14)+SUMPRODUCT($O$15:$O$16,$I$15:$I$16)+SUMPRODUCT($O$17:$O$19,$I$17:$I$19)+SUMPRODUCT($O$20:$O$24,$I$20:$I$24)+SUMPRODUCT($O$25:$O$29,$I$25:$I$29)+SUMPRODUCT($O$30:$O$32,$I$30:$I$32)+SUMPRODUCT($O$33:$O$33,$I$33:$I$33)+SUMPRODUCT($O$34:$O$36,$I$34:$I$36)+SUMPRODUCT($O$37:$O$37,$I$37:$I$37)+SUMPRODUCT($O$38:$O$40,$I$38:$I$40)+SUMPRODUCT($O$41:$O$41,$I$41:$I$41)+SUMPRODUCT($O$42:$O$44,$I$42:$I$44)+SUMPRODUCT($O$45:$O$47,$I$45:$I$47)+SUMPRODUCT($O$48:$O$48,$I$48:$I$48)+SUMPRODUCT($O$49:$O$49,$I$49:$I$49)+SUMPRODUCT($O$50:$O$51,$I$50:$I$51))</f>
        <v>44364.775200000004</v>
      </c>
      <c r="P55" s="13">
        <f>IF(ISERROR(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,0,+SUMPRODUCT($P$5:$P$8,$I$5:$I$8)+SUMPRODUCT($P$9:$P$9,$I$9:$I$9)+SUMPRODUCT($P$10:$P$14,$I$10:$I$14)+SUMPRODUCT($P$15:$P$16,$I$15:$I$16)+SUMPRODUCT($P$17:$P$19,$I$17:$I$19)+SUMPRODUCT($P$20:$P$24,$I$20:$I$24)+SUMPRODUCT($P$25:$P$29,$I$25:$I$29)+SUMPRODUCT($P$30:$P$32,$I$30:$I$32)+SUMPRODUCT($P$33:$P$33,$I$33:$I$33)+SUMPRODUCT($P$34:$P$36,$I$34:$I$36)+SUMPRODUCT($P$37:$P$37,$I$37:$I$37)+SUMPRODUCT($P$38:$P$40,$I$38:$I$40)+SUMPRODUCT($P$41:$P$41,$I$41:$I$41)+SUMPRODUCT($P$42:$P$44,$I$42:$I$44)+SUMPRODUCT($P$45:$P$47,$I$45:$I$47)+SUMPRODUCT($P$48:$P$48,$I$48:$I$48)+SUMPRODUCT($P$49:$P$49,$I$49:$I$49)+SUMPRODUCT($P$50:$P$51,$I$50:$I$51))</f>
        <v>44031.855199999998</v>
      </c>
      <c r="Q55" s="13">
        <f>IF(ISERROR(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,0,+SUMPRODUCT($Q$5:$Q$8,$I$5:$I$8)+SUMPRODUCT($Q$9:$Q$9,$I$9:$I$9)+SUMPRODUCT($Q$10:$Q$14,$I$10:$I$14)+SUMPRODUCT($Q$15:$Q$16,$I$15:$I$16)+SUMPRODUCT($Q$17:$Q$19,$I$17:$I$19)+SUMPRODUCT($Q$20:$Q$24,$I$20:$I$24)+SUMPRODUCT($Q$25:$Q$29,$I$25:$I$29)+SUMPRODUCT($Q$30:$Q$32,$I$30:$I$32)+SUMPRODUCT($Q$33:$Q$33,$I$33:$I$33)+SUMPRODUCT($Q$34:$Q$36,$I$34:$I$36)+SUMPRODUCT($Q$37:$Q$37,$I$37:$I$37)+SUMPRODUCT($Q$38:$Q$40,$I$38:$I$40)+SUMPRODUCT($Q$41:$Q$41,$I$41:$I$41)+SUMPRODUCT($Q$42:$Q$44,$I$42:$I$44)+SUMPRODUCT($Q$45:$Q$47,$I$45:$I$47)+SUMPRODUCT($Q$48:$Q$48,$I$48:$I$48)+SUMPRODUCT($Q$49:$Q$49,$I$49:$I$49)+SUMPRODUCT($Q$50:$Q$51,$I$50:$I$51))</f>
        <v>39247.400160000005</v>
      </c>
      <c r="R55" s="13">
        <f>IF(ISERROR(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,0,+SUMPRODUCT($R$5:$R$8,$I$5:$I$8)+SUMPRODUCT($R$9:$R$9,$I$9:$I$9)+SUMPRODUCT($R$10:$R$14,$I$10:$I$14)+SUMPRODUCT($R$15:$R$16,$I$15:$I$16)+SUMPRODUCT($R$17:$R$19,$I$17:$I$19)+SUMPRODUCT($R$20:$R$24,$I$20:$I$24)+SUMPRODUCT($R$25:$R$29,$I$25:$I$29)+SUMPRODUCT($R$30:$R$32,$I$30:$I$32)+SUMPRODUCT($R$33:$R$33,$I$33:$I$33)+SUMPRODUCT($R$34:$R$36,$I$34:$I$36)+SUMPRODUCT($R$37:$R$37,$I$37:$I$37)+SUMPRODUCT($R$38:$R$40,$I$38:$I$40)+SUMPRODUCT($R$41:$R$41,$I$41:$I$41)+SUMPRODUCT($R$42:$R$44,$I$42:$I$44)+SUMPRODUCT($R$45:$R$47,$I$45:$I$47)+SUMPRODUCT($R$48:$R$48,$I$48:$I$48)+SUMPRODUCT($R$49:$R$49,$I$49:$I$49)+SUMPRODUCT($R$50:$R$51,$I$50:$I$51))</f>
        <v>44031.855199999998</v>
      </c>
      <c r="S55" s="13">
        <f>IF(ISERROR(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,0,+SUMPRODUCT($S$5:$S$8,$I$5:$I$8)+SUMPRODUCT($S$9:$S$9,$I$9:$I$9)+SUMPRODUCT($S$10:$S$14,$I$10:$I$14)+SUMPRODUCT($S$15:$S$16,$I$15:$I$16)+SUMPRODUCT($S$17:$S$19,$I$17:$I$19)+SUMPRODUCT($S$20:$S$24,$I$20:$I$24)+SUMPRODUCT($S$25:$S$29,$I$25:$I$29)+SUMPRODUCT($S$30:$S$32,$I$30:$I$32)+SUMPRODUCT($S$33:$S$33,$I$33:$I$33)+SUMPRODUCT($S$34:$S$36,$I$34:$I$36)+SUMPRODUCT($S$37:$S$37,$I$37:$I$37)+SUMPRODUCT($S$38:$S$40,$I$38:$I$40)+SUMPRODUCT($S$41:$S$41,$I$41:$I$41)+SUMPRODUCT($S$42:$S$44,$I$42:$I$44)+SUMPRODUCT($S$45:$S$47,$I$45:$I$47)+SUMPRODUCT($S$48:$S$48,$I$48:$I$48)+SUMPRODUCT($S$49:$S$49,$I$49:$I$49)+SUMPRODUCT($S$50:$S$51,$I$50:$I$51))</f>
        <v>44364.775200000004</v>
      </c>
      <c r="T55" s="13"/>
      <c r="U55" s="13">
        <f>IF(ISERROR(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,0,+SUMPRODUCT($U$5:$U$8,$I$5:$I$8)+SUMPRODUCT($U$9:$U$9,$I$9:$I$9)+SUMPRODUCT($U$10:$U$14,$I$10:$I$14)+SUMPRODUCT($U$15:$U$16,$I$15:$I$16)+SUMPRODUCT($U$17:$U$19,$I$17:$I$19)+SUMPRODUCT($U$20:$U$24,$I$20:$I$24)+SUMPRODUCT($U$25:$U$29,$I$25:$I$29)+SUMPRODUCT($U$30:$U$32,$I$30:$I$32)+SUMPRODUCT($U$33:$U$33,$I$33:$I$33)+SUMPRODUCT($U$34:$U$36,$I$34:$I$36)+SUMPRODUCT($U$37:$U$37,$I$37:$I$37)+SUMPRODUCT($U$38:$U$40,$I$38:$I$40)+SUMPRODUCT($U$41:$U$41,$I$41:$I$41)+SUMPRODUCT($U$42:$U$44,$I$42:$I$44)+SUMPRODUCT($U$45:$U$47,$I$45:$I$47)+SUMPRODUCT($U$48:$U$48,$I$48:$I$48)+SUMPRODUCT($U$49:$U$49,$I$49:$I$49)+SUMPRODUCT($U$50:$U$51,$I$50:$I$51))</f>
        <v>0</v>
      </c>
      <c r="V55" s="13">
        <f>IF(ISERROR(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,0,+SUMPRODUCT($V$5:$V$8,$I$5:$I$8)+SUMPRODUCT($V$9:$V$9,$I$9:$I$9)+SUMPRODUCT($V$10:$V$14,$I$10:$I$14)+SUMPRODUCT($V$15:$V$16,$I$15:$I$16)+SUMPRODUCT($V$17:$V$19,$I$17:$I$19)+SUMPRODUCT($V$20:$V$24,$I$20:$I$24)+SUMPRODUCT($V$25:$V$29,$I$25:$I$29)+SUMPRODUCT($V$30:$V$32,$I$30:$I$32)+SUMPRODUCT($V$33:$V$33,$I$33:$I$33)+SUMPRODUCT($V$34:$V$36,$I$34:$I$36)+SUMPRODUCT($V$37:$V$37,$I$37:$I$37)+SUMPRODUCT($V$38:$V$40,$I$38:$I$40)+SUMPRODUCT($V$41:$V$41,$I$41:$I$41)+SUMPRODUCT($V$42:$V$44,$I$42:$I$44)+SUMPRODUCT($V$45:$V$47,$I$45:$I$47)+SUMPRODUCT($V$48:$V$48,$I$48:$I$48)+SUMPRODUCT($V$49:$V$49,$I$49:$I$49)+SUMPRODUCT($V$50:$V$51,$I$50:$I$51))</f>
        <v>0</v>
      </c>
      <c r="W55" s="13">
        <f>IF(ISERROR(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,0,+SUMPRODUCT($W$5:$W$8,$I$5:$I$8)+SUMPRODUCT($W$9:$W$9,$I$9:$I$9)+SUMPRODUCT($W$10:$W$14,$I$10:$I$14)+SUMPRODUCT($W$15:$W$16,$I$15:$I$16)+SUMPRODUCT($W$17:$W$19,$I$17:$I$19)+SUMPRODUCT($W$20:$W$24,$I$20:$I$24)+SUMPRODUCT($W$25:$W$29,$I$25:$I$29)+SUMPRODUCT($W$30:$W$32,$I$30:$I$32)+SUMPRODUCT($W$33:$W$33,$I$33:$I$33)+SUMPRODUCT($W$34:$W$36,$I$34:$I$36)+SUMPRODUCT($W$37:$W$37,$I$37:$I$37)+SUMPRODUCT($W$38:$W$40,$I$38:$I$40)+SUMPRODUCT($W$41:$W$41,$I$41:$I$41)+SUMPRODUCT($W$42:$W$44,$I$42:$I$44)+SUMPRODUCT($W$45:$W$47,$I$45:$I$47)+SUMPRODUCT($W$48:$W$48,$I$48:$I$48)+SUMPRODUCT($W$49:$W$49,$I$49:$I$49)+SUMPRODUCT($W$50:$W$51,$I$50:$I$51))</f>
        <v>0</v>
      </c>
      <c r="X55" s="13">
        <f>IF(ISERROR(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,0,+SUMPRODUCT($X$5:$X$8,$I$5:$I$8)+SUMPRODUCT($X$9:$X$9,$I$9:$I$9)+SUMPRODUCT($X$10:$X$14,$I$10:$I$14)+SUMPRODUCT($X$15:$X$16,$I$15:$I$16)+SUMPRODUCT($X$17:$X$19,$I$17:$I$19)+SUMPRODUCT($X$20:$X$24,$I$20:$I$24)+SUMPRODUCT($X$25:$X$29,$I$25:$I$29)+SUMPRODUCT($X$30:$X$32,$I$30:$I$32)+SUMPRODUCT($X$33:$X$33,$I$33:$I$33)+SUMPRODUCT($X$34:$X$36,$I$34:$I$36)+SUMPRODUCT($X$37:$X$37,$I$37:$I$37)+SUMPRODUCT($X$38:$X$40,$I$38:$I$40)+SUMPRODUCT($X$41:$X$41,$I$41:$I$41)+SUMPRODUCT($X$42:$X$44,$I$42:$I$44)+SUMPRODUCT($X$45:$X$47,$I$45:$I$47)+SUMPRODUCT($X$48:$X$48,$I$48:$I$48)+SUMPRODUCT($X$49:$X$49,$I$49:$I$49)+SUMPRODUCT($X$50:$X$51,$I$50:$I$51))</f>
        <v>0</v>
      </c>
      <c r="Y55" s="13">
        <f>IF(ISERROR(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,0,+SUMPRODUCT($Y$5:$Y$8,$I$5:$I$8)+SUMPRODUCT($Y$9:$Y$9,$I$9:$I$9)+SUMPRODUCT($Y$10:$Y$14,$I$10:$I$14)+SUMPRODUCT($Y$15:$Y$16,$I$15:$I$16)+SUMPRODUCT($Y$17:$Y$19,$I$17:$I$19)+SUMPRODUCT($Y$20:$Y$24,$I$20:$I$24)+SUMPRODUCT($Y$25:$Y$29,$I$25:$I$29)+SUMPRODUCT($Y$30:$Y$32,$I$30:$I$32)+SUMPRODUCT($Y$33:$Y$33,$I$33:$I$33)+SUMPRODUCT($Y$34:$Y$36,$I$34:$I$36)+SUMPRODUCT($Y$37:$Y$37,$I$37:$I$37)+SUMPRODUCT($Y$38:$Y$40,$I$38:$I$40)+SUMPRODUCT($Y$41:$Y$41,$I$41:$I$41)+SUMPRODUCT($Y$42:$Y$44,$I$42:$I$44)+SUMPRODUCT($Y$45:$Y$47,$I$45:$I$47)+SUMPRODUCT($Y$48:$Y$48,$I$48:$I$48)+SUMPRODUCT($Y$49:$Y$49,$I$49:$I$49)+SUMPRODUCT($Y$50:$Y$51,$I$50:$I$51))</f>
        <v>4795990.8785784403</v>
      </c>
      <c r="Z55" s="13">
        <f>IF(ISERROR(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,0,+SUMPRODUCT($Z$5:$Z$8,$I$5:$I$8)+SUMPRODUCT($Z$9:$Z$9,$I$9:$I$9)+SUMPRODUCT($Z$10:$Z$14,$I$10:$I$14)+SUMPRODUCT($Z$15:$Z$16,$I$15:$I$16)+SUMPRODUCT($Z$17:$Z$19,$I$17:$I$19)+SUMPRODUCT($Z$20:$Z$24,$I$20:$I$24)+SUMPRODUCT($Z$25:$Z$29,$I$25:$I$29)+SUMPRODUCT($Z$30:$Z$32,$I$30:$I$32)+SUMPRODUCT($Z$33:$Z$33,$I$33:$I$33)+SUMPRODUCT($Z$34:$Z$36,$I$34:$I$36)+SUMPRODUCT($Z$37:$Z$37,$I$37:$I$37)+SUMPRODUCT($Z$38:$Z$40,$I$38:$I$40)+SUMPRODUCT($Z$41:$Z$41,$I$41:$I$41)+SUMPRODUCT($Z$42:$Z$44,$I$42:$I$44)+SUMPRODUCT($Z$45:$Z$47,$I$45:$I$47)+SUMPRODUCT($Z$48:$Z$48,$I$48:$I$48)+SUMPRODUCT($Z$49:$Z$49,$I$49:$I$49)+SUMPRODUCT($Z$50:$Z$51,$I$50:$I$51))</f>
        <v>0</v>
      </c>
      <c r="AA55" s="13">
        <f>IF(ISERROR(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,0,+SUMPRODUCT($AA$5:$AA$8,$I$5:$I$8)+SUMPRODUCT($AA$9:$AA$9,$I$9:$I$9)+SUMPRODUCT($AA$10:$AA$14,$I$10:$I$14)+SUMPRODUCT($AA$15:$AA$16,$I$15:$I$16)+SUMPRODUCT($AA$17:$AA$19,$I$17:$I$19)+SUMPRODUCT($AA$20:$AA$24,$I$20:$I$24)+SUMPRODUCT($AA$25:$AA$29,$I$25:$I$29)+SUMPRODUCT($AA$30:$AA$32,$I$30:$I$32)+SUMPRODUCT($AA$33:$AA$33,$I$33:$I$33)+SUMPRODUCT($AA$34:$AA$36,$I$34:$I$36)+SUMPRODUCT($AA$37:$AA$37,$I$37:$I$37)+SUMPRODUCT($AA$38:$AA$40,$I$38:$I$40)+SUMPRODUCT($AA$41:$AA$41,$I$41:$I$41)+SUMPRODUCT($AA$42:$AA$44,$I$42:$I$44)+SUMPRODUCT($AA$45:$AA$47,$I$45:$I$47)+SUMPRODUCT($AA$48:$AA$48,$I$48:$I$48)+SUMPRODUCT($AA$49:$AA$49,$I$49:$I$49)+SUMPRODUCT($AA$50:$AA$51,$I$50:$I$51))</f>
        <v>0</v>
      </c>
      <c r="AB55" s="13"/>
      <c r="AC55" s="13">
        <f>IF(ISERROR(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,0,+SUMPRODUCT($AC$5:$AC$8,$I$5:$I$8)+SUMPRODUCT($AC$9:$AC$9,$I$9:$I$9)+SUMPRODUCT($AC$10:$AC$14,$I$10:$I$14)+SUMPRODUCT($AC$15:$AC$16,$I$15:$I$16)+SUMPRODUCT($AC$17:$AC$19,$I$17:$I$19)+SUMPRODUCT($AC$20:$AC$24,$I$20:$I$24)+SUMPRODUCT($AC$25:$AC$29,$I$25:$I$29)+SUMPRODUCT($AC$30:$AC$32,$I$30:$I$32)+SUMPRODUCT($AC$33:$AC$33,$I$33:$I$33)+SUMPRODUCT($AC$34:$AC$36,$I$34:$I$36)+SUMPRODUCT($AC$37:$AC$37,$I$37:$I$37)+SUMPRODUCT($AC$38:$AC$40,$I$38:$I$40)+SUMPRODUCT($AC$41:$AC$41,$I$41:$I$41)+SUMPRODUCT($AC$42:$AC$44,$I$42:$I$44)+SUMPRODUCT($AC$45:$AC$47,$I$45:$I$47)+SUMPRODUCT($AC$48:$AC$48,$I$48:$I$48)+SUMPRODUCT($AC$49:$AC$49,$I$49:$I$49)+SUMPRODUCT($AC$50:$AC$51,$I$50:$I$51))</f>
        <v>14093992.105911443</v>
      </c>
      <c r="AD55" s="13"/>
      <c r="AE55" s="13">
        <f>IF(ISERROR(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,0,+SUMPRODUCT($AE$5:$AE$8,$I$5:$I$8)+SUMPRODUCT($AE$9:$AE$9,$I$9:$I$9)+SUMPRODUCT($AE$10:$AE$14,$I$10:$I$14)+SUMPRODUCT($AE$15:$AE$16,$I$15:$I$16)+SUMPRODUCT($AE$17:$AE$19,$I$17:$I$19)+SUMPRODUCT($AE$20:$AE$24,$I$20:$I$24)+SUMPRODUCT($AE$25:$AE$29,$I$25:$I$29)+SUMPRODUCT($AE$30:$AE$32,$I$30:$I$32)+SUMPRODUCT($AE$33:$AE$33,$I$33:$I$33)+SUMPRODUCT($AE$34:$AE$36,$I$34:$I$36)+SUMPRODUCT($AE$37:$AE$37,$I$37:$I$37)+SUMPRODUCT($AE$38:$AE$40,$I$38:$I$40)+SUMPRODUCT($AE$41:$AE$41,$I$41:$I$41)+SUMPRODUCT($AE$42:$AE$44,$I$42:$I$44)+SUMPRODUCT($AE$45:$AE$47,$I$45:$I$47)+SUMPRODUCT($AE$48:$AE$48,$I$48:$I$48)+SUMPRODUCT($AE$49:$AE$49,$I$49:$I$49)+SUMPRODUCT($AE$50:$AE$51,$I$50:$I$51))</f>
        <v>0</v>
      </c>
      <c r="AF55" s="13">
        <f>IF(ISERROR(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,0,+SUMPRODUCT($AF$5:$AF$8,$I$5:$I$8)+SUMPRODUCT($AF$9:$AF$9,$I$9:$I$9)+SUMPRODUCT($AF$10:$AF$14,$I$10:$I$14)+SUMPRODUCT($AF$15:$AF$16,$I$15:$I$16)+SUMPRODUCT($AF$17:$AF$19,$I$17:$I$19)+SUMPRODUCT($AF$20:$AF$24,$I$20:$I$24)+SUMPRODUCT($AF$25:$AF$29,$I$25:$I$29)+SUMPRODUCT($AF$30:$AF$32,$I$30:$I$32)+SUMPRODUCT($AF$33:$AF$33,$I$33:$I$33)+SUMPRODUCT($AF$34:$AF$36,$I$34:$I$36)+SUMPRODUCT($AF$37:$AF$37,$I$37:$I$37)+SUMPRODUCT($AF$38:$AF$40,$I$38:$I$40)+SUMPRODUCT($AF$41:$AF$41,$I$41:$I$41)+SUMPRODUCT($AF$42:$AF$44,$I$42:$I$44)+SUMPRODUCT($AF$45:$AF$47,$I$45:$I$47)+SUMPRODUCT($AF$48:$AF$48,$I$48:$I$48)+SUMPRODUCT($AF$49:$AF$49,$I$49:$I$49)+SUMPRODUCT($AF$50:$AF$51,$I$50:$I$51))</f>
        <v>0</v>
      </c>
      <c r="AG55" s="13"/>
      <c r="AH55" s="13">
        <f>IF(ISERROR(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,0,+SUMPRODUCT($AH$5:$AH$8,$I$5:$I$8)+SUMPRODUCT($AH$9:$AH$9,$I$9:$I$9)+SUMPRODUCT($AH$10:$AH$14,$I$10:$I$14)+SUMPRODUCT($AH$15:$AH$16,$I$15:$I$16)+SUMPRODUCT($AH$17:$AH$19,$I$17:$I$19)+SUMPRODUCT($AH$20:$AH$24,$I$20:$I$24)+SUMPRODUCT($AH$25:$AH$29,$I$25:$I$29)+SUMPRODUCT($AH$30:$AH$32,$I$30:$I$32)+SUMPRODUCT($AH$33:$AH$33,$I$33:$I$33)+SUMPRODUCT($AH$34:$AH$36,$I$34:$I$36)+SUMPRODUCT($AH$37:$AH$37,$I$37:$I$37)+SUMPRODUCT($AH$38:$AH$40,$I$38:$I$40)+SUMPRODUCT($AH$41:$AH$41,$I$41:$I$41)+SUMPRODUCT($AH$42:$AH$44,$I$42:$I$44)+SUMPRODUCT($AH$45:$AH$47,$I$45:$I$47)+SUMPRODUCT($AH$48:$AH$48,$I$48:$I$48)+SUMPRODUCT($AH$49:$AH$49,$I$49:$I$49)+SUMPRODUCT($AH$50:$AH$51,$I$50:$I$51))</f>
        <v>523272.16846608004</v>
      </c>
      <c r="AI55" s="13">
        <f>IF(ISERROR(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,0,+SUMPRODUCT($AI$5:$AI$8,$I$5:$I$8)+SUMPRODUCT($AI$9:$AI$9,$I$9:$I$9)+SUMPRODUCT($AI$10:$AI$14,$I$10:$I$14)+SUMPRODUCT($AI$15:$AI$16,$I$15:$I$16)+SUMPRODUCT($AI$17:$AI$19,$I$17:$I$19)+SUMPRODUCT($AI$20:$AI$24,$I$20:$I$24)+SUMPRODUCT($AI$25:$AI$29,$I$25:$I$29)+SUMPRODUCT($AI$30:$AI$32,$I$30:$I$32)+SUMPRODUCT($AI$33:$AI$33,$I$33:$I$33)+SUMPRODUCT($AI$34:$AI$36,$I$34:$I$36)+SUMPRODUCT($AI$37:$AI$37,$I$37:$I$37)+SUMPRODUCT($AI$38:$AI$40,$I$38:$I$40)+SUMPRODUCT($AI$41:$AI$41,$I$41:$I$41)+SUMPRODUCT($AI$42:$AI$44,$I$42:$I$44)+SUMPRODUCT($AI$45:$AI$47,$I$45:$I$47)+SUMPRODUCT($AI$48:$AI$48,$I$48:$I$48)+SUMPRODUCT($AI$49:$AI$49,$I$49:$I$49)+SUMPRODUCT($AI$50:$AI$51,$I$50:$I$51))</f>
        <v>523272.16846608004</v>
      </c>
      <c r="AJ55" s="13">
        <f ca="1">IF(ISERROR(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,0,+SUMPRODUCT($AJ$5:$AJ$8,$I$5:$I$8)+SUMPRODUCT($AJ$9:$AJ$9,$I$9:$I$9)+SUMPRODUCT($AJ$10:$AJ$14,$I$10:$I$14)+SUMPRODUCT($AJ$15:$AJ$16,$I$15:$I$16)+SUMPRODUCT($AJ$17:$AJ$19,$I$17:$I$19)+SUMPRODUCT($AJ$20:$AJ$24,$I$20:$I$24)+SUMPRODUCT($AJ$25:$AJ$29,$I$25:$I$29)+SUMPRODUCT($AJ$30:$AJ$32,$I$30:$I$32)+SUMPRODUCT($AJ$33:$AJ$33,$I$33:$I$33)+SUMPRODUCT($AJ$34:$AJ$36,$I$34:$I$36)+SUMPRODUCT($AJ$37:$AJ$37,$I$37:$I$37)+SUMPRODUCT($AJ$38:$AJ$40,$I$38:$I$40)+SUMPRODUCT($AJ$41:$AJ$41,$I$41:$I$41)+SUMPRODUCT($AJ$42:$AJ$44,$I$42:$I$44)+SUMPRODUCT($AJ$45:$AJ$47,$I$45:$I$47)+SUMPRODUCT($AJ$48:$AJ$48,$I$48:$I$48)+SUMPRODUCT($AJ$49:$AJ$49,$I$49:$I$49)+SUMPRODUCT($AJ$50:$AJ$51,$I$50:$I$51))</f>
        <v>0</v>
      </c>
      <c r="AK55" s="13">
        <f ca="1">IF(ISERROR(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,0,+SUMPRODUCT($AK$5:$AK$8,$I$5:$I$8)+SUMPRODUCT($AK$9:$AK$9,$I$9:$I$9)+SUMPRODUCT($AK$10:$AK$14,$I$10:$I$14)+SUMPRODUCT($AK$15:$AK$16,$I$15:$I$16)+SUMPRODUCT($AK$17:$AK$19,$I$17:$I$19)+SUMPRODUCT($AK$20:$AK$24,$I$20:$I$24)+SUMPRODUCT($AK$25:$AK$29,$I$25:$I$29)+SUMPRODUCT($AK$30:$AK$32,$I$30:$I$32)+SUMPRODUCT($AK$33:$AK$33,$I$33:$I$33)+SUMPRODUCT($AK$34:$AK$36,$I$34:$I$36)+SUMPRODUCT($AK$37:$AK$37,$I$37:$I$37)+SUMPRODUCT($AK$38:$AK$40,$I$38:$I$40)+SUMPRODUCT($AK$41:$AK$41,$I$41:$I$41)+SUMPRODUCT($AK$42:$AK$44,$I$42:$I$44)+SUMPRODUCT($AK$45:$AK$47,$I$45:$I$47)+SUMPRODUCT($AK$48:$AK$48,$I$48:$I$48)+SUMPRODUCT($AK$49:$AK$49,$I$49:$I$49)+SUMPRODUCT($AK$50:$AK$51,$I$50:$I$51))</f>
        <v>0</v>
      </c>
      <c r="AL55" s="13"/>
      <c r="AM55" s="13"/>
    </row>
    <row r="56" spans="1:42" ht="11.25" customHeight="1" x14ac:dyDescent="0.3">
      <c r="K56" s="16" t="s">
        <v>465</v>
      </c>
      <c r="L56" s="13">
        <f>CUSTOS!$D$2</f>
        <v>0</v>
      </c>
      <c r="M56" s="13">
        <f>CUSTOS!$D$3</f>
        <v>60318.578824742086</v>
      </c>
      <c r="N56" s="13">
        <f>CUSTOS!$D$4</f>
        <v>0</v>
      </c>
      <c r="O56" s="13">
        <f>CUSTOS!$D$5</f>
        <v>0</v>
      </c>
      <c r="P56" s="13">
        <f>CUSTOS!$D$6</f>
        <v>0</v>
      </c>
      <c r="Q56" s="13">
        <f>CUSTOS!$D$7</f>
        <v>3547574.1107399999</v>
      </c>
      <c r="R56" s="13">
        <f>CUSTOS!$D$8</f>
        <v>628596.9297000001</v>
      </c>
      <c r="S56" s="13">
        <f>CUSTOS!$D$9</f>
        <v>0</v>
      </c>
      <c r="T56" s="13">
        <f>CUSTOS!$D$10</f>
        <v>4236489.6192647424</v>
      </c>
      <c r="U56" s="13">
        <f>CUSTOS!$D$11</f>
        <v>0</v>
      </c>
      <c r="V56" s="13">
        <f>IF(SUM(V53:V55)&lt;&gt;0,CUSTOS!$D$12+CUSTOS!$D$16+CUSTOS!$D$17-'TR TUSD'!$Z$54-'TR TUSD'!$AA$54,0)</f>
        <v>0</v>
      </c>
      <c r="W56" s="13">
        <f>CUSTOS!$D$13</f>
        <v>0</v>
      </c>
      <c r="X56" s="13">
        <f>CUSTOS!$D$14</f>
        <v>0</v>
      </c>
      <c r="Y56" s="13">
        <f>IF(SUM(V53:V55)=0,CUSTOS!$D$15+CUSTOS!$D$16+CUSTOS!$D$17-'TR TUSD'!$Z$54-'TR TUSD'!$AA$54,CUSTOS!$D$15)</f>
        <v>4882651.6637400007</v>
      </c>
      <c r="Z56" s="13">
        <f>Z54</f>
        <v>0</v>
      </c>
      <c r="AA56" s="13">
        <f>AA54</f>
        <v>0</v>
      </c>
      <c r="AB56" s="13">
        <f>CUSTOS!$D$18</f>
        <v>4882651.6637400007</v>
      </c>
      <c r="AC56" s="13">
        <f>CUSTOS!$D$19</f>
        <v>14343053.986877607</v>
      </c>
      <c r="AD56" s="13">
        <f>CUSTOS!$D$20</f>
        <v>14343053.986877607</v>
      </c>
      <c r="AE56" s="13">
        <f>CUSTOS!$D$21</f>
        <v>0</v>
      </c>
      <c r="AF56" s="13">
        <f>CUSTOS!$D$22</f>
        <v>0</v>
      </c>
      <c r="AG56" s="13">
        <f>CUSTOS!$D$23</f>
        <v>0</v>
      </c>
      <c r="AH56" s="13">
        <f>CUSTOS!$D$24</f>
        <v>637460.39136771404</v>
      </c>
      <c r="AI56" s="13">
        <f>CUSTOS!$D$25</f>
        <v>0</v>
      </c>
      <c r="AJ56" s="13">
        <f>CUSTOS!$D$26</f>
        <v>0</v>
      </c>
      <c r="AK56" s="13">
        <f>CUSTOS!$D$27</f>
        <v>0</v>
      </c>
      <c r="AL56" s="13">
        <f>CUSTOS!$D$28</f>
        <v>637460.39136771404</v>
      </c>
      <c r="AM56" s="13">
        <f>CUSTOS!$D$29</f>
        <v>24099655.661250066</v>
      </c>
    </row>
    <row r="57" spans="1:42" ht="11.25" customHeight="1" x14ac:dyDescent="0.3">
      <c r="K57" s="16" t="s">
        <v>466</v>
      </c>
      <c r="L57" s="13">
        <f>CUSTOS!$E$2</f>
        <v>0</v>
      </c>
      <c r="M57" s="13">
        <f>CUSTOS!$E$3</f>
        <v>-631.8579431823332</v>
      </c>
      <c r="N57" s="13">
        <f>CUSTOS!$E$4</f>
        <v>0</v>
      </c>
      <c r="O57" s="13">
        <f>CUSTOS!$E$5</f>
        <v>0</v>
      </c>
      <c r="P57" s="13">
        <f>CUSTOS!$E$6</f>
        <v>0</v>
      </c>
      <c r="Q57" s="13">
        <f>CUSTOS!$E$7</f>
        <v>-29649.206855117383</v>
      </c>
      <c r="R57" s="13">
        <f>CUSTOS!$E$8</f>
        <v>-5292.8430167260067</v>
      </c>
      <c r="S57" s="13">
        <f>CUSTOS!$E$9</f>
        <v>0</v>
      </c>
      <c r="T57" s="13">
        <f>CUSTOS!$E$10</f>
        <v>-35573.907815025726</v>
      </c>
      <c r="U57" s="13">
        <f>CUSTOS!$E$11</f>
        <v>0</v>
      </c>
      <c r="V57" s="13">
        <f>CUSTOS!$E$12</f>
        <v>0</v>
      </c>
      <c r="W57" s="13">
        <f>CUSTOS!$E$13</f>
        <v>0</v>
      </c>
      <c r="X57" s="13">
        <f>CUSTOS!$E$14</f>
        <v>0</v>
      </c>
      <c r="Y57" s="13">
        <f>CUSTOS!$E$15</f>
        <v>-142938.17947389829</v>
      </c>
      <c r="Z57" s="13">
        <f>CUSTOS!$E$16</f>
        <v>0</v>
      </c>
      <c r="AA57" s="13">
        <f>CUSTOS!$E$17</f>
        <v>0</v>
      </c>
      <c r="AB57" s="13">
        <f>CUSTOS!$E$18</f>
        <v>-142938.17947389829</v>
      </c>
      <c r="AC57" s="13">
        <f>CUSTOS!$E$19</f>
        <v>-2548674.1739379396</v>
      </c>
      <c r="AD57" s="13">
        <f>CUSTOS!$E$20</f>
        <v>-2548674.1739379396</v>
      </c>
      <c r="AE57" s="13">
        <f>CUSTOS!$E$21</f>
        <v>0</v>
      </c>
      <c r="AF57" s="13">
        <f>CUSTOS!$E$22</f>
        <v>0</v>
      </c>
      <c r="AG57" s="13">
        <f>CUSTOS!$E$23</f>
        <v>0</v>
      </c>
      <c r="AH57" s="13">
        <f>CUSTOS!$E$24</f>
        <v>-11659.138765059777</v>
      </c>
      <c r="AI57" s="13">
        <f>CUSTOS!$E$25</f>
        <v>0</v>
      </c>
      <c r="AJ57" s="13">
        <f>CUSTOS!$E$26</f>
        <v>0</v>
      </c>
      <c r="AK57" s="13">
        <f>CUSTOS!$E$27</f>
        <v>0</v>
      </c>
      <c r="AL57" s="13">
        <f>CUSTOS!$E$28</f>
        <v>-11659.138765059777</v>
      </c>
      <c r="AM57" s="13">
        <f>CUSTOS!$E$29</f>
        <v>-2738845.3999919235</v>
      </c>
    </row>
    <row r="58" spans="1:42" ht="11.25" customHeight="1" x14ac:dyDescent="0.3">
      <c r="K58" s="16" t="s">
        <v>467</v>
      </c>
      <c r="L58" s="13">
        <f>CUSTOS!$F$2</f>
        <v>0</v>
      </c>
      <c r="M58" s="13">
        <f>CUSTOS!$F$3</f>
        <v>0</v>
      </c>
      <c r="N58" s="13">
        <f>CUSTOS!$F$4</f>
        <v>0</v>
      </c>
      <c r="O58" s="13">
        <f>CUSTOS!$F$5</f>
        <v>0</v>
      </c>
      <c r="P58" s="13">
        <f>CUSTOS!$F$6</f>
        <v>0</v>
      </c>
      <c r="Q58" s="13">
        <f>CUSTOS!$F$7</f>
        <v>0</v>
      </c>
      <c r="R58" s="13">
        <f>CUSTOS!$F$8</f>
        <v>0</v>
      </c>
      <c r="S58" s="13">
        <f>CUSTOS!$F$9</f>
        <v>0</v>
      </c>
      <c r="T58" s="13">
        <f>CUSTOS!$F$10</f>
        <v>0</v>
      </c>
      <c r="U58" s="13">
        <f>CUSTOS!$F$11</f>
        <v>0</v>
      </c>
      <c r="V58" s="13">
        <f>CUSTOS!$F$12</f>
        <v>0</v>
      </c>
      <c r="W58" s="13">
        <f>CUSTOS!$F$13</f>
        <v>0</v>
      </c>
      <c r="X58" s="13">
        <f>CUSTOS!$F$14</f>
        <v>0</v>
      </c>
      <c r="Y58" s="13">
        <f>CUSTOS!$F$15</f>
        <v>0</v>
      </c>
      <c r="Z58" s="13">
        <f>CUSTOS!$F$16</f>
        <v>0</v>
      </c>
      <c r="AA58" s="13">
        <f>CUSTOS!$F$17</f>
        <v>0</v>
      </c>
      <c r="AB58" s="13">
        <f>CUSTOS!$F$18</f>
        <v>0</v>
      </c>
      <c r="AC58" s="13">
        <f>CUSTOS!$F$19</f>
        <v>0</v>
      </c>
      <c r="AD58" s="13">
        <f>CUSTOS!$F$20</f>
        <v>0</v>
      </c>
      <c r="AE58" s="13">
        <f>CUSTOS!$F$21</f>
        <v>0</v>
      </c>
      <c r="AF58" s="13">
        <f>CUSTOS!$F$22</f>
        <v>0</v>
      </c>
      <c r="AG58" s="13">
        <f>CUSTOS!$F$23</f>
        <v>0</v>
      </c>
      <c r="AH58" s="13">
        <f>CUSTOS!$F$24</f>
        <v>0</v>
      </c>
      <c r="AI58" s="13">
        <f>CUSTOS!$F$25</f>
        <v>0</v>
      </c>
      <c r="AJ58" s="13">
        <f>CUSTOS!$F$26</f>
        <v>0</v>
      </c>
      <c r="AK58" s="13">
        <f>CUSTOS!$F$27</f>
        <v>0</v>
      </c>
      <c r="AL58" s="13">
        <f>CUSTOS!$F$28</f>
        <v>0</v>
      </c>
      <c r="AM58" s="13">
        <f>CUSTOS!$F$29</f>
        <v>0</v>
      </c>
    </row>
    <row r="59" spans="1:42" ht="11.25" customHeight="1" x14ac:dyDescent="0.3">
      <c r="K59" s="16" t="s">
        <v>530</v>
      </c>
      <c r="L59" s="13">
        <v>0</v>
      </c>
      <c r="M59" s="13">
        <v>0</v>
      </c>
      <c r="N59" s="13">
        <v>0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/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/>
      <c r="AC59" s="13">
        <v>0</v>
      </c>
      <c r="AD59" s="13"/>
      <c r="AE59" s="13">
        <v>0</v>
      </c>
      <c r="AF59" s="13">
        <v>0</v>
      </c>
      <c r="AG59" s="13"/>
      <c r="AH59" s="13">
        <v>0</v>
      </c>
      <c r="AI59" s="13">
        <v>0</v>
      </c>
      <c r="AJ59" s="13">
        <v>0</v>
      </c>
      <c r="AK59" s="13">
        <v>0</v>
      </c>
      <c r="AL59" s="13"/>
      <c r="AM59" s="13"/>
    </row>
    <row r="60" spans="1:42" ht="11.25" customHeight="1" x14ac:dyDescent="0.3">
      <c r="K60" s="16" t="s">
        <v>531</v>
      </c>
      <c r="L60" s="13">
        <f t="shared" ref="L60:S60" si="1">IF((L55+L53)&lt;&gt;0,(L56-L54-L59)/(L55+L53),0)</f>
        <v>0</v>
      </c>
      <c r="M60" s="13">
        <f t="shared" si="1"/>
        <v>1.0163096114466168</v>
      </c>
      <c r="N60" s="13">
        <f t="shared" ca="1" si="1"/>
        <v>0</v>
      </c>
      <c r="O60" s="13">
        <f t="shared" si="1"/>
        <v>0</v>
      </c>
      <c r="P60" s="13">
        <f t="shared" si="1"/>
        <v>0</v>
      </c>
      <c r="Q60" s="13">
        <f t="shared" si="1"/>
        <v>90.390041028898551</v>
      </c>
      <c r="R60" s="13">
        <f t="shared" si="1"/>
        <v>14.275958322555534</v>
      </c>
      <c r="S60" s="13">
        <f t="shared" si="1"/>
        <v>0</v>
      </c>
      <c r="T60" s="13"/>
      <c r="U60" s="13">
        <f>IF(U55&lt;&gt;0,(U56-U54-U53-U59)/U55,0)</f>
        <v>0</v>
      </c>
      <c r="V60" s="13">
        <f>IF(V55&lt;&gt;0,(V56-V54-V53-V59)/V55,0)</f>
        <v>0</v>
      </c>
      <c r="W60" s="13">
        <f>IF(W55&lt;&gt;0,(W56-W54-W53-W59)/W55,0)</f>
        <v>0</v>
      </c>
      <c r="X60" s="13">
        <f>IF(X55&lt;&gt;0,(X56-X54-X53-X59)/X55,0)</f>
        <v>0</v>
      </c>
      <c r="Y60" s="13">
        <f>IF(Y55&lt;&gt;0,(Y56-Y54-Y53-Y59)/Y55,0)</f>
        <v>1.0180694224312719</v>
      </c>
      <c r="Z60" s="13"/>
      <c r="AA60" s="13"/>
      <c r="AB60" s="13"/>
      <c r="AC60" s="13">
        <f>IF(AC55&lt;&gt;0,(AC56-AC54-AC53-AC59)/AC55,0)</f>
        <v>1.0176714928669288</v>
      </c>
      <c r="AD60" s="13"/>
      <c r="AE60" s="13">
        <f>IF((AE55+AE53)&lt;&gt;0,(AE56-AE54-AE59)/(AE55+AE53),0)</f>
        <v>0</v>
      </c>
      <c r="AF60" s="13">
        <f>IF((AF55+AF53)&lt;&gt;0,(AF56-AF54-AF59)/(AF55+AF53),0)</f>
        <v>0</v>
      </c>
      <c r="AG60" s="13"/>
      <c r="AH60" s="13">
        <f>IF(AH55&lt;&gt;0,(AH56-AH54-AH53-AH59)/AH55,0)</f>
        <v>1.2182195610295219</v>
      </c>
      <c r="AI60" s="13">
        <f>IF(AI55&lt;&gt;0,(AI56-AI54-AI53-AI59)/AI55,0)</f>
        <v>0</v>
      </c>
      <c r="AJ60" s="13">
        <f ca="1">IF((AJ55+AJ53)&lt;&gt;0,(AJ56-AJ54-AJ59)/(AJ55+AJ53),0)</f>
        <v>0</v>
      </c>
      <c r="AK60" s="13">
        <f ca="1">IF((AK55+AK53)&lt;&gt;0,(AK56-AK54-AK59)/(AK55+AK53),0)</f>
        <v>0</v>
      </c>
      <c r="AL60" s="13"/>
      <c r="AM60" s="13"/>
    </row>
    <row r="62" spans="1:42" ht="11.25" customHeight="1" x14ac:dyDescent="0.3">
      <c r="K62" s="19" t="s">
        <v>535</v>
      </c>
      <c r="L62" s="19" t="s">
        <v>536</v>
      </c>
      <c r="M62" s="19" t="s">
        <v>537</v>
      </c>
      <c r="N62" s="19" t="s">
        <v>538</v>
      </c>
      <c r="O62" s="19" t="s">
        <v>539</v>
      </c>
      <c r="P62" s="19" t="s">
        <v>540</v>
      </c>
    </row>
    <row r="63" spans="1:42" ht="11.25" customHeight="1" x14ac:dyDescent="0.3">
      <c r="K63" s="18" t="s">
        <v>35</v>
      </c>
      <c r="L63" s="18">
        <f ca="1">+(+'TUSD BE'!$L$5+'TUSD BE'!$M$5+'TUSD BE'!$N$5+'TUSD BE'!$O$5+'TUSD BE'!$P$5+'TUSD BE'!$Q$5+'TUSD BE'!$R$5+'TUSD BE'!$S$5+'TUSD BE'!$U$5+'TUSD BE'!$V$5+'TUSD BE'!$W$5+'TUSD BE'!$X$5+'TUSD BE'!$Y$5+'TUSD BE'!$Z$5+'TUSD BE'!$AA$5+'TUSD BE'!$AC$5+'TUSD BE'!$AH$5+'TUSD BE'!$AI$5)*'TUSD BE'!$I$5+(+'TUSD BE'!$L$6+'TUSD BE'!$M$6+'TUSD BE'!$N$6+'TUSD BE'!$O$6+'TUSD BE'!$P$6+'TUSD BE'!$Q$6+'TUSD BE'!$R$6+'TUSD BE'!$S$6+'TUSD BE'!$U$6+'TUSD BE'!$V$6+'TUSD BE'!$W$6+'TUSD BE'!$X$6+'TUSD BE'!$Y$6+'TUSD BE'!$Z$6+'TUSD BE'!$AA$6+'TUSD BE'!$AC$6+'TUSD BE'!$AH$6+'TUSD BE'!$AI$6)*'TUSD BE'!$I$6+(+'TUSD BE'!$L$7+'TUSD BE'!$M$7+'TUSD BE'!$N$7+'TUSD BE'!$O$7+'TUSD BE'!$P$7+'TUSD BE'!$Q$7+'TUSD BE'!$R$7+'TUSD BE'!$S$7+'TUSD BE'!$U$7+'TUSD BE'!$V$7+'TUSD BE'!$W$7+'TUSD BE'!$X$7+'TUSD BE'!$Y$7+'TUSD BE'!$Z$7+'TUSD BE'!$AA$7+'TUSD BE'!$AC$7+'TUSD BE'!$AH$7+'TUSD BE'!$AI$7)*'TUSD BE'!$I$7+(+'TUSD BE'!$L$8+'TUSD BE'!$M$8+'TUSD BE'!$N$8+'TUSD BE'!$O$8+'TUSD BE'!$P$8+'TUSD BE'!$Q$8+'TUSD BE'!$R$8+'TUSD BE'!$S$8+'TUSD BE'!$U$8+'TUSD BE'!$V$8+'TUSD BE'!$W$8+'TUSD BE'!$X$8+'TUSD BE'!$Y$8+'TUSD BE'!$Z$8+'TUSD BE'!$AA$8+'TUSD BE'!$AC$8+'TUSD BE'!$AH$8+'TUSD BE'!$AI$8)*'TUSD BE'!$I$8+(+'TUSD BE'!$L$10+'TUSD BE'!$M$10+'TUSD BE'!$N$10+'TUSD BE'!$O$10+'TUSD BE'!$P$10+'TUSD BE'!$Q$10+'TUSD BE'!$R$10+'TUSD BE'!$S$10+'TUSD BE'!$U$10+'TUSD BE'!$V$10+'TUSD BE'!$W$10+'TUSD BE'!$X$10+'TUSD BE'!$Y$10+'TUSD BE'!$Z$10+'TUSD BE'!$AA$10+'TUSD BE'!$AC$10+'TUSD BE'!$AH$10+'TUSD BE'!$AI$10)*'TUSD BE'!$I$10+(+'TUSD BE'!$L$11+'TUSD BE'!$M$11+'TUSD BE'!$N$11+'TUSD BE'!$O$11+'TUSD BE'!$P$11+'TUSD BE'!$Q$11+'TUSD BE'!$R$11+'TUSD BE'!$S$11+'TUSD BE'!$U$11+'TUSD BE'!$V$11+'TUSD BE'!$W$11+'TUSD BE'!$X$11+'TUSD BE'!$Y$11+'TUSD BE'!$Z$11+'TUSD BE'!$AA$11+'TUSD BE'!$AC$11+'TUSD BE'!$AH$11+'TUSD BE'!$AI$11)*'TUSD BE'!$I$11+(+'TUSD BE'!$L$12+'TUSD BE'!$M$12+'TUSD BE'!$N$12+'TUSD BE'!$O$12+'TUSD BE'!$P$12+'TUSD BE'!$Q$12+'TUSD BE'!$R$12+'TUSD BE'!$S$12+'TUSD BE'!$U$12+'TUSD BE'!$V$12+'TUSD BE'!$W$12+'TUSD BE'!$X$12+'TUSD BE'!$Y$12+'TUSD BE'!$Z$12+'TUSD BE'!$AA$12+'TUSD BE'!$AC$12+'TUSD BE'!$AH$12+'TUSD BE'!$AI$12)*'TUSD BE'!$I$12+(+'TUSD BE'!$L$13+'TUSD BE'!$M$13+'TUSD BE'!$N$13+'TUSD BE'!$O$13+'TUSD BE'!$P$13+'TUSD BE'!$Q$13+'TUSD BE'!$R$13+'TUSD BE'!$S$13+'TUSD BE'!$U$13+'TUSD BE'!$V$13+'TUSD BE'!$W$13+'TUSD BE'!$X$13+'TUSD BE'!$Y$13+'TUSD BE'!$Z$13+'TUSD BE'!$AA$13+'TUSD BE'!$AC$13+'TUSD BE'!$AH$13+'TUSD BE'!$AI$13)*'TUSD BE'!$I$13+(+'TUSD BE'!$L$14+'TUSD BE'!$M$14+'TUSD BE'!$N$14+'TUSD BE'!$O$14+'TUSD BE'!$P$14+'TUSD BE'!$Q$14+'TUSD BE'!$R$14+'TUSD BE'!$S$14+'TUSD BE'!$U$14+'TUSD BE'!$V$14+'TUSD BE'!$W$14+'TUSD BE'!$X$14+'TUSD BE'!$Y$14+'TUSD BE'!$Z$14+'TUSD BE'!$AA$14+'TUSD BE'!$AC$14+'TUSD BE'!$AH$14+'TUSD BE'!$AI$14)*'TUSD BE'!$I$14</f>
        <v>13268500.775097471</v>
      </c>
      <c r="M63" s="18">
        <f>+'TUSD BE'!$I$7+'TUSD BE'!$I$8+'TUSD BE'!$I$11+'TUSD BE'!$I$12+'TUSD BE'!$I$13+'TUSD BE'!$I$14</f>
        <v>29902.844000000001</v>
      </c>
      <c r="N63" s="18">
        <f ca="1">IF(AND($L$70&lt;&gt;0,M63&lt;&gt;0),(L63/$L$70*$AJ$56)/M63,0)</f>
        <v>0</v>
      </c>
      <c r="O63" s="18"/>
      <c r="P63" s="18"/>
    </row>
    <row r="64" spans="1:42" ht="11.25" customHeight="1" x14ac:dyDescent="0.3">
      <c r="K64" s="18" t="s">
        <v>78</v>
      </c>
      <c r="L64" s="18">
        <f ca="1">+$L$65+$L$66+$L$67+$L$68+$L$69</f>
        <v>10831154.886152225</v>
      </c>
      <c r="M64" s="18">
        <f>+$M$65+$M$66+$M$67+$M$68+$M$69</f>
        <v>14916.766000000001</v>
      </c>
      <c r="N64" s="18">
        <f ca="1">IF(AND($L$70&lt;&gt;0,M64&lt;&gt;0),(L64/$L$70*$AJ$56)/M64,0)</f>
        <v>0</v>
      </c>
      <c r="O64" s="18"/>
      <c r="P64" s="18"/>
    </row>
    <row r="65" spans="11:16" ht="11.25" customHeight="1" x14ac:dyDescent="0.3">
      <c r="K65" s="18" t="s">
        <v>78</v>
      </c>
      <c r="L65" s="18"/>
      <c r="M65" s="18"/>
      <c r="N65" s="18">
        <f ca="1">IF(AND($L$70&lt;&gt;0,M65&lt;&gt;0),(L65/$L$70*$AJ$56)/M65,0)</f>
        <v>0</v>
      </c>
      <c r="O65" s="18"/>
      <c r="P65" s="18"/>
    </row>
    <row r="66" spans="11:16" ht="11.25" customHeight="1" x14ac:dyDescent="0.3">
      <c r="K66" s="18" t="s">
        <v>22</v>
      </c>
      <c r="L66" s="18">
        <f ca="1">+(+'TUSD BE'!$L$17+'TUSD BE'!$M$17+'TUSD BE'!$N$17+'TUSD BE'!$O$17+'TUSD BE'!$P$17+'TUSD BE'!$Q$17+'TUSD BE'!$R$17+'TUSD BE'!$S$17+'TUSD BE'!$U$17+'TUSD BE'!$V$17+'TUSD BE'!$W$17+'TUSD BE'!$X$17+'TUSD BE'!$Y$17+'TUSD BE'!$Z$17+'TUSD BE'!$AA$17+'TUSD BE'!$AC$17+'TUSD BE'!$AH$17+'TUSD BE'!$AI$17)*'TUSD BE'!$I$17+(+'TUSD BE'!$L$18+'TUSD BE'!$M$18+'TUSD BE'!$N$18+'TUSD BE'!$O$18+'TUSD BE'!$P$18+'TUSD BE'!$Q$18+'TUSD BE'!$R$18+'TUSD BE'!$S$18+'TUSD BE'!$U$18+'TUSD BE'!$V$18+'TUSD BE'!$W$18+'TUSD BE'!$X$18+'TUSD BE'!$Y$18+'TUSD BE'!$Z$18+'TUSD BE'!$AA$18+'TUSD BE'!$AC$18+'TUSD BE'!$AH$18+'TUSD BE'!$AI$18)*'TUSD BE'!$I$18+(+'TUSD BE'!$L$19+'TUSD BE'!$M$19+'TUSD BE'!$N$19+'TUSD BE'!$O$19+'TUSD BE'!$P$19+'TUSD BE'!$Q$19+'TUSD BE'!$R$19+'TUSD BE'!$S$19+'TUSD BE'!$U$19+'TUSD BE'!$V$19+'TUSD BE'!$W$19+'TUSD BE'!$X$19+'TUSD BE'!$Y$19+'TUSD BE'!$Z$19+'TUSD BE'!$AA$19+'TUSD BE'!$AC$19+'TUSD BE'!$AH$19+'TUSD BE'!$AI$19)*'TUSD BE'!$I$19+(+'TUSD BE'!$L$20+'TUSD BE'!$M$20+'TUSD BE'!$N$20+'TUSD BE'!$O$20+'TUSD BE'!$P$20+'TUSD BE'!$Q$20+'TUSD BE'!$R$20+'TUSD BE'!$S$20+'TUSD BE'!$U$20+'TUSD BE'!$V$20+'TUSD BE'!$W$20+'TUSD BE'!$X$20+'TUSD BE'!$Y$20+'TUSD BE'!$Z$20+'TUSD BE'!$AA$20+'TUSD BE'!$AC$20+'TUSD BE'!$AH$20+'TUSD BE'!$AI$20)*'TUSD BE'!$I$20+(+'TUSD BE'!$L$21+'TUSD BE'!$M$21+'TUSD BE'!$N$21+'TUSD BE'!$O$21+'TUSD BE'!$P$21+'TUSD BE'!$Q$21+'TUSD BE'!$R$21+'TUSD BE'!$S$21+'TUSD BE'!$U$21+'TUSD BE'!$V$21+'TUSD BE'!$W$21+'TUSD BE'!$X$21+'TUSD BE'!$Y$21+'TUSD BE'!$Z$21+'TUSD BE'!$AA$21+'TUSD BE'!$AC$21+'TUSD BE'!$AH$21+'TUSD BE'!$AI$21)*'TUSD BE'!$I$21+(+'TUSD BE'!$L$22+'TUSD BE'!$M$22+'TUSD BE'!$N$22+'TUSD BE'!$O$22+'TUSD BE'!$P$22+'TUSD BE'!$Q$22+'TUSD BE'!$R$22+'TUSD BE'!$S$22+'TUSD BE'!$U$22+'TUSD BE'!$V$22+'TUSD BE'!$W$22+'TUSD BE'!$X$22+'TUSD BE'!$Y$22+'TUSD BE'!$Z$22+'TUSD BE'!$AA$22+'TUSD BE'!$AC$22+'TUSD BE'!$AH$22+'TUSD BE'!$AI$22)*'TUSD BE'!$I$22+(+'TUSD BE'!$L$23+'TUSD BE'!$M$23+'TUSD BE'!$N$23+'TUSD BE'!$O$23+'TUSD BE'!$P$23+'TUSD BE'!$Q$23+'TUSD BE'!$R$23+'TUSD BE'!$S$23+'TUSD BE'!$U$23+'TUSD BE'!$V$23+'TUSD BE'!$W$23+'TUSD BE'!$X$23+'TUSD BE'!$Y$23+'TUSD BE'!$Z$23+'TUSD BE'!$AA$23+'TUSD BE'!$AC$23+'TUSD BE'!$AH$23+'TUSD BE'!$AI$23)*'TUSD BE'!$I$23+(+'TUSD BE'!$L$24+'TUSD BE'!$M$24+'TUSD BE'!$N$24+'TUSD BE'!$O$24+'TUSD BE'!$P$24+'TUSD BE'!$Q$24+'TUSD BE'!$R$24+'TUSD BE'!$S$24+'TUSD BE'!$U$24+'TUSD BE'!$V$24+'TUSD BE'!$W$24+'TUSD BE'!$X$24+'TUSD BE'!$Y$24+'TUSD BE'!$Z$24+'TUSD BE'!$AA$24+'TUSD BE'!$AC$24+'TUSD BE'!$AH$24+'TUSD BE'!$AI$24)*'TUSD BE'!$I$24+(+'TUSD BE'!$L$25+'TUSD BE'!$M$25+'TUSD BE'!$N$25+'TUSD BE'!$O$25+'TUSD BE'!$P$25+'TUSD BE'!$Q$25+'TUSD BE'!$R$25+'TUSD BE'!$S$25+'TUSD BE'!$U$25+'TUSD BE'!$V$25+'TUSD BE'!$W$25+'TUSD BE'!$X$25+'TUSD BE'!$Y$25+'TUSD BE'!$Z$25+'TUSD BE'!$AA$25+'TUSD BE'!$AC$25+'TUSD BE'!$AH$25+'TUSD BE'!$AI$25)*'TUSD BE'!$I$25+(+'TUSD BE'!$L$26+'TUSD BE'!$M$26+'TUSD BE'!$N$26+'TUSD BE'!$O$26+'TUSD BE'!$P$26+'TUSD BE'!$Q$26+'TUSD BE'!$R$26+'TUSD BE'!$S$26+'TUSD BE'!$U$26+'TUSD BE'!$V$26+'TUSD BE'!$W$26+'TUSD BE'!$X$26+'TUSD BE'!$Y$26+'TUSD BE'!$Z$26+'TUSD BE'!$AA$26+'TUSD BE'!$AC$26+'TUSD BE'!$AH$26+'TUSD BE'!$AI$26)*'TUSD BE'!$I$26+(+'TUSD BE'!$L$27+'TUSD BE'!$M$27+'TUSD BE'!$N$27+'TUSD BE'!$O$27+'TUSD BE'!$P$27+'TUSD BE'!$Q$27+'TUSD BE'!$R$27+'TUSD BE'!$S$27+'TUSD BE'!$U$27+'TUSD BE'!$V$27+'TUSD BE'!$W$27+'TUSD BE'!$X$27+'TUSD BE'!$Y$27+'TUSD BE'!$Z$27+'TUSD BE'!$AA$27+'TUSD BE'!$AC$27+'TUSD BE'!$AH$27+'TUSD BE'!$AI$27)*'TUSD BE'!$I$27+(+'TUSD BE'!$L$28+'TUSD BE'!$M$28+'TUSD BE'!$N$28+'TUSD BE'!$O$28+'TUSD BE'!$P$28+'TUSD BE'!$Q$28+'TUSD BE'!$R$28+'TUSD BE'!$S$28+'TUSD BE'!$U$28+'TUSD BE'!$V$28+'TUSD BE'!$W$28+'TUSD BE'!$X$28+'TUSD BE'!$Y$28+'TUSD BE'!$Z$28+'TUSD BE'!$AA$28+'TUSD BE'!$AC$28+'TUSD BE'!$AH$28+'TUSD BE'!$AI$28)*'TUSD BE'!$I$28+(+'TUSD BE'!$L$29+'TUSD BE'!$M$29+'TUSD BE'!$N$29+'TUSD BE'!$O$29+'TUSD BE'!$P$29+'TUSD BE'!$Q$29+'TUSD BE'!$R$29+'TUSD BE'!$S$29+'TUSD BE'!$U$29+'TUSD BE'!$V$29+'TUSD BE'!$W$29+'TUSD BE'!$X$29+'TUSD BE'!$Y$29+'TUSD BE'!$Z$29+'TUSD BE'!$AA$29+'TUSD BE'!$AC$29+'TUSD BE'!$AH$29+'TUSD BE'!$AI$29)*'TUSD BE'!$I$29</f>
        <v>5228530.6578260791</v>
      </c>
      <c r="M66" s="18">
        <f>+'TUSD BE'!$I$17+'TUSD BE'!$I$18+'TUSD BE'!$I$19+'TUSD BE'!$I$20+'TUSD BE'!$I$21+'TUSD BE'!$I$22+'TUSD BE'!$I$23+'TUSD BE'!$I$24+'TUSD BE'!$I$25+'TUSD BE'!$I$26+'TUSD BE'!$I$27+'TUSD BE'!$I$28+'TUSD BE'!$I$29</f>
        <v>6959.1360000000004</v>
      </c>
      <c r="N66" s="18"/>
      <c r="O66" s="18"/>
      <c r="P66" s="18"/>
    </row>
    <row r="67" spans="11:16" ht="11.25" customHeight="1" x14ac:dyDescent="0.3">
      <c r="K67" s="18" t="s">
        <v>42</v>
      </c>
      <c r="L67" s="18">
        <f ca="1">+(+'TUSD BE'!$L$30+'TUSD BE'!$M$30+'TUSD BE'!$N$30+'TUSD BE'!$O$30+'TUSD BE'!$P$30+'TUSD BE'!$Q$30+'TUSD BE'!$R$30+'TUSD BE'!$S$30+'TUSD BE'!$U$30+'TUSD BE'!$V$30+'TUSD BE'!$W$30+'TUSD BE'!$X$30+'TUSD BE'!$Y$30+'TUSD BE'!$Z$30+'TUSD BE'!$AA$30+'TUSD BE'!$AC$30+'TUSD BE'!$AH$30+'TUSD BE'!$AI$30)*'TUSD BE'!$I$30+(+'TUSD BE'!$L$31+'TUSD BE'!$M$31+'TUSD BE'!$N$31+'TUSD BE'!$O$31+'TUSD BE'!$P$31+'TUSD BE'!$Q$31+'TUSD BE'!$R$31+'TUSD BE'!$S$31+'TUSD BE'!$U$31+'TUSD BE'!$V$31+'TUSD BE'!$W$31+'TUSD BE'!$X$31+'TUSD BE'!$Y$31+'TUSD BE'!$Z$31+'TUSD BE'!$AA$31+'TUSD BE'!$AC$31+'TUSD BE'!$AH$31+'TUSD BE'!$AI$31)*'TUSD BE'!$I$31+(+'TUSD BE'!$L$32+'TUSD BE'!$M$32+'TUSD BE'!$N$32+'TUSD BE'!$O$32+'TUSD BE'!$P$32+'TUSD BE'!$Q$32+'TUSD BE'!$R$32+'TUSD BE'!$S$32+'TUSD BE'!$U$32+'TUSD BE'!$V$32+'TUSD BE'!$W$32+'TUSD BE'!$X$32+'TUSD BE'!$Y$32+'TUSD BE'!$Z$32+'TUSD BE'!$AA$32+'TUSD BE'!$AC$32+'TUSD BE'!$AH$32+'TUSD BE'!$AI$32)*'TUSD BE'!$I$32+(+'TUSD BE'!$L$33+'TUSD BE'!$M$33+'TUSD BE'!$N$33+'TUSD BE'!$O$33+'TUSD BE'!$P$33+'TUSD BE'!$Q$33+'TUSD BE'!$R$33+'TUSD BE'!$S$33+'TUSD BE'!$U$33+'TUSD BE'!$V$33+'TUSD BE'!$W$33+'TUSD BE'!$X$33+'TUSD BE'!$Y$33+'TUSD BE'!$Z$33+'TUSD BE'!$AA$33+'TUSD BE'!$AC$33+'TUSD BE'!$AH$33+'TUSD BE'!$AI$33)*'TUSD BE'!$I$33+(+'TUSD BE'!$L$34+'TUSD BE'!$M$34+'TUSD BE'!$N$34+'TUSD BE'!$O$34+'TUSD BE'!$P$34+'TUSD BE'!$Q$34+'TUSD BE'!$R$34+'TUSD BE'!$S$34+'TUSD BE'!$U$34+'TUSD BE'!$V$34+'TUSD BE'!$W$34+'TUSD BE'!$X$34+'TUSD BE'!$Y$34+'TUSD BE'!$Z$34+'TUSD BE'!$AA$34+'TUSD BE'!$AC$34+'TUSD BE'!$AH$34+'TUSD BE'!$AI$34)*'TUSD BE'!$I$34+(+'TUSD BE'!$L$35+'TUSD BE'!$M$35+'TUSD BE'!$N$35+'TUSD BE'!$O$35+'TUSD BE'!$P$35+'TUSD BE'!$Q$35+'TUSD BE'!$R$35+'TUSD BE'!$S$35+'TUSD BE'!$U$35+'TUSD BE'!$V$35+'TUSD BE'!$W$35+'TUSD BE'!$X$35+'TUSD BE'!$Y$35+'TUSD BE'!$Z$35+'TUSD BE'!$AA$35+'TUSD BE'!$AC$35+'TUSD BE'!$AH$35+'TUSD BE'!$AI$35)*'TUSD BE'!$I$35+(+'TUSD BE'!$L$36+'TUSD BE'!$M$36+'TUSD BE'!$N$36+'TUSD BE'!$O$36+'TUSD BE'!$P$36+'TUSD BE'!$Q$36+'TUSD BE'!$R$36+'TUSD BE'!$S$36+'TUSD BE'!$U$36+'TUSD BE'!$V$36+'TUSD BE'!$W$36+'TUSD BE'!$X$36+'TUSD BE'!$Y$36+'TUSD BE'!$Z$36+'TUSD BE'!$AA$36+'TUSD BE'!$AC$36+'TUSD BE'!$AH$36+'TUSD BE'!$AI$36)*'TUSD BE'!$I$36+(+'TUSD BE'!$L$37+'TUSD BE'!$M$37+'TUSD BE'!$N$37+'TUSD BE'!$O$37+'TUSD BE'!$P$37+'TUSD BE'!$Q$37+'TUSD BE'!$R$37+'TUSD BE'!$S$37+'TUSD BE'!$U$37+'TUSD BE'!$V$37+'TUSD BE'!$W$37+'TUSD BE'!$X$37+'TUSD BE'!$Y$37+'TUSD BE'!$Z$37+'TUSD BE'!$AA$37+'TUSD BE'!$AC$37+'TUSD BE'!$AH$37+'TUSD BE'!$AI$37)*'TUSD BE'!$I$37+(+'TUSD BE'!$L$38+'TUSD BE'!$M$38+'TUSD BE'!$N$38+'TUSD BE'!$O$38+'TUSD BE'!$P$38+'TUSD BE'!$Q$38+'TUSD BE'!$R$38+'TUSD BE'!$S$38+'TUSD BE'!$U$38+'TUSD BE'!$V$38+'TUSD BE'!$W$38+'TUSD BE'!$X$38+'TUSD BE'!$Y$38+'TUSD BE'!$Z$38+'TUSD BE'!$AA$38+'TUSD BE'!$AC$38+'TUSD BE'!$AH$38+'TUSD BE'!$AI$38)*'TUSD BE'!$I$38+(+'TUSD BE'!$L$39+'TUSD BE'!$M$39+'TUSD BE'!$N$39+'TUSD BE'!$O$39+'TUSD BE'!$P$39+'TUSD BE'!$Q$39+'TUSD BE'!$R$39+'TUSD BE'!$S$39+'TUSD BE'!$U$39+'TUSD BE'!$V$39+'TUSD BE'!$W$39+'TUSD BE'!$X$39+'TUSD BE'!$Y$39+'TUSD BE'!$Z$39+'TUSD BE'!$AA$39+'TUSD BE'!$AC$39+'TUSD BE'!$AH$39+'TUSD BE'!$AI$39)*'TUSD BE'!$I$39+(+'TUSD BE'!$L$40+'TUSD BE'!$M$40+'TUSD BE'!$N$40+'TUSD BE'!$O$40+'TUSD BE'!$P$40+'TUSD BE'!$Q$40+'TUSD BE'!$R$40+'TUSD BE'!$S$40+'TUSD BE'!$U$40+'TUSD BE'!$V$40+'TUSD BE'!$W$40+'TUSD BE'!$X$40+'TUSD BE'!$Y$40+'TUSD BE'!$Z$40+'TUSD BE'!$AA$40+'TUSD BE'!$AC$40+'TUSD BE'!$AH$40+'TUSD BE'!$AI$40)*'TUSD BE'!$I$40+(+'TUSD BE'!$L$41+'TUSD BE'!$M$41+'TUSD BE'!$N$41+'TUSD BE'!$O$41+'TUSD BE'!$P$41+'TUSD BE'!$Q$41+'TUSD BE'!$R$41+'TUSD BE'!$S$41+'TUSD BE'!$U$41+'TUSD BE'!$V$41+'TUSD BE'!$W$41+'TUSD BE'!$X$41+'TUSD BE'!$Y$41+'TUSD BE'!$Z$41+'TUSD BE'!$AA$41+'TUSD BE'!$AC$41+'TUSD BE'!$AH$41+'TUSD BE'!$AI$41)*'TUSD BE'!$I$41+(+'TUSD BE'!$L$42+'TUSD BE'!$M$42+'TUSD BE'!$N$42+'TUSD BE'!$O$42+'TUSD BE'!$P$42+'TUSD BE'!$Q$42+'TUSD BE'!$R$42+'TUSD BE'!$S$42+'TUSD BE'!$U$42+'TUSD BE'!$V$42+'TUSD BE'!$W$42+'TUSD BE'!$X$42+'TUSD BE'!$Y$42+'TUSD BE'!$Z$42+'TUSD BE'!$AA$42+'TUSD BE'!$AC$42+'TUSD BE'!$AH$42+'TUSD BE'!$AI$42)*'TUSD BE'!$I$42+(+'TUSD BE'!$L$43+'TUSD BE'!$M$43+'TUSD BE'!$N$43+'TUSD BE'!$O$43+'TUSD BE'!$P$43+'TUSD BE'!$Q$43+'TUSD BE'!$R$43+'TUSD BE'!$S$43+'TUSD BE'!$U$43+'TUSD BE'!$V$43+'TUSD BE'!$W$43+'TUSD BE'!$X$43+'TUSD BE'!$Y$43+'TUSD BE'!$Z$43+'TUSD BE'!$AA$43+'TUSD BE'!$AC$43+'TUSD BE'!$AH$43+'TUSD BE'!$AI$43)*'TUSD BE'!$I$43+(+'TUSD BE'!$L$44+'TUSD BE'!$M$44+'TUSD BE'!$N$44+'TUSD BE'!$O$44+'TUSD BE'!$P$44+'TUSD BE'!$Q$44+'TUSD BE'!$R$44+'TUSD BE'!$S$44+'TUSD BE'!$U$44+'TUSD BE'!$V$44+'TUSD BE'!$W$44+'TUSD BE'!$X$44+'TUSD BE'!$Y$44+'TUSD BE'!$Z$44+'TUSD BE'!$AA$44+'TUSD BE'!$AC$44+'TUSD BE'!$AH$44+'TUSD BE'!$AI$44)*'TUSD BE'!$I$44</f>
        <v>2549585.0533749871</v>
      </c>
      <c r="M67" s="18">
        <f>+'TUSD BE'!$I$30+'TUSD BE'!$I$31+'TUSD BE'!$I$32+'TUSD BE'!$I$33+'TUSD BE'!$I$34+'TUSD BE'!$I$35+'TUSD BE'!$I$36+'TUSD BE'!$I$37+'TUSD BE'!$I$38+'TUSD BE'!$I$39+'TUSD BE'!$I$40+'TUSD BE'!$I$41+'TUSD BE'!$I$42+'TUSD BE'!$I$43+'TUSD BE'!$I$44</f>
        <v>3371.0129999999999</v>
      </c>
      <c r="N67" s="18"/>
      <c r="O67" s="18"/>
      <c r="P67" s="18"/>
    </row>
    <row r="68" spans="11:16" ht="11.25" customHeight="1" x14ac:dyDescent="0.3">
      <c r="K68" s="18" t="s">
        <v>33</v>
      </c>
      <c r="L68" s="18">
        <f ca="1">+(+'TUSD BE'!$L$45+'TUSD BE'!$M$45+'TUSD BE'!$N$45+'TUSD BE'!$O$45+'TUSD BE'!$P$45+'TUSD BE'!$Q$45+'TUSD BE'!$R$45+'TUSD BE'!$S$45+'TUSD BE'!$U$45+'TUSD BE'!$V$45+'TUSD BE'!$W$45+'TUSD BE'!$X$45+'TUSD BE'!$Y$45+'TUSD BE'!$Z$45+'TUSD BE'!$AA$45+'TUSD BE'!$AC$45+'TUSD BE'!$AH$45+'TUSD BE'!$AI$45)*'TUSD BE'!$I$45+(+'TUSD BE'!$L$46+'TUSD BE'!$M$46+'TUSD BE'!$N$46+'TUSD BE'!$O$46+'TUSD BE'!$P$46+'TUSD BE'!$Q$46+'TUSD BE'!$R$46+'TUSD BE'!$S$46+'TUSD BE'!$U$46+'TUSD BE'!$V$46+'TUSD BE'!$W$46+'TUSD BE'!$X$46+'TUSD BE'!$Y$46+'TUSD BE'!$Z$46+'TUSD BE'!$AA$46+'TUSD BE'!$AC$46+'TUSD BE'!$AH$46+'TUSD BE'!$AI$46)*'TUSD BE'!$I$46+(+'TUSD BE'!$L$47+'TUSD BE'!$M$47+'TUSD BE'!$N$47+'TUSD BE'!$O$47+'TUSD BE'!$P$47+'TUSD BE'!$Q$47+'TUSD BE'!$R$47+'TUSD BE'!$S$47+'TUSD BE'!$U$47+'TUSD BE'!$V$47+'TUSD BE'!$W$47+'TUSD BE'!$X$47+'TUSD BE'!$Y$47+'TUSD BE'!$Z$47+'TUSD BE'!$AA$47+'TUSD BE'!$AC$47+'TUSD BE'!$AH$47+'TUSD BE'!$AI$47)*'TUSD BE'!$I$47+(+'TUSD BE'!$L$48+'TUSD BE'!$M$48+'TUSD BE'!$N$48+'TUSD BE'!$O$48+'TUSD BE'!$P$48+'TUSD BE'!$Q$48+'TUSD BE'!$R$48+'TUSD BE'!$S$48+'TUSD BE'!$U$48+'TUSD BE'!$V$48+'TUSD BE'!$W$48+'TUSD BE'!$X$48+'TUSD BE'!$Y$48+'TUSD BE'!$Z$48+'TUSD BE'!$AA$48+'TUSD BE'!$AC$48+'TUSD BE'!$AH$48+'TUSD BE'!$AI$48)*'TUSD BE'!$I$48+(+'TUSD BE'!$L$49+'TUSD BE'!$M$49+'TUSD BE'!$N$49+'TUSD BE'!$O$49+'TUSD BE'!$P$49+'TUSD BE'!$Q$49+'TUSD BE'!$R$49+'TUSD BE'!$S$49+'TUSD BE'!$U$49+'TUSD BE'!$V$49+'TUSD BE'!$W$49+'TUSD BE'!$X$49+'TUSD BE'!$Y$49+'TUSD BE'!$Z$49+'TUSD BE'!$AA$49+'TUSD BE'!$AC$49+'TUSD BE'!$AH$49+'TUSD BE'!$AI$49)*'TUSD BE'!$I$49</f>
        <v>2632590.5479794894</v>
      </c>
      <c r="M68" s="18">
        <f>+'TUSD BE'!$I$45+'TUSD BE'!$I$46+'TUSD BE'!$I$47+'TUSD BE'!$I$48+'TUSD BE'!$I$49</f>
        <v>3575.8730000000005</v>
      </c>
      <c r="N68" s="18"/>
      <c r="O68" s="18"/>
      <c r="P68" s="18"/>
    </row>
    <row r="69" spans="11:16" ht="11.25" customHeight="1" x14ac:dyDescent="0.3">
      <c r="K69" s="18" t="s">
        <v>45</v>
      </c>
      <c r="L69" s="18">
        <f ca="1">+(+'TUSD BE'!$L$50+'TUSD BE'!$M$50+'TUSD BE'!$N$50+'TUSD BE'!$O$50+'TUSD BE'!$P$50+'TUSD BE'!$Q$50+'TUSD BE'!$R$50+'TUSD BE'!$S$50+'TUSD BE'!$U$50+'TUSD BE'!$V$50+'TUSD BE'!$W$50+'TUSD BE'!$X$50+'TUSD BE'!$Y$50+'TUSD BE'!$Z$50+'TUSD BE'!$AA$50+'TUSD BE'!$AC$50+'TUSD BE'!$AH$50+'TUSD BE'!$AI$50)*'TUSD BE'!$I$50+(+'TUSD BE'!$L$51+'TUSD BE'!$M$51+'TUSD BE'!$N$51+'TUSD BE'!$O$51+'TUSD BE'!$P$51+'TUSD BE'!$Q$51+'TUSD BE'!$R$51+'TUSD BE'!$S$51+'TUSD BE'!$U$51+'TUSD BE'!$V$51+'TUSD BE'!$W$51+'TUSD BE'!$X$51+'TUSD BE'!$Y$51+'TUSD BE'!$Z$51+'TUSD BE'!$AA$51+'TUSD BE'!$AC$51+'TUSD BE'!$AH$51+'TUSD BE'!$AI$51)*'TUSD BE'!$I$51</f>
        <v>420448.62697166885</v>
      </c>
      <c r="M69" s="18">
        <f>+'TUSD BE'!$I$50+'TUSD BE'!$I$51</f>
        <v>1010.7439999999999</v>
      </c>
      <c r="N69" s="18"/>
      <c r="O69" s="18"/>
      <c r="P69" s="18"/>
    </row>
    <row r="70" spans="11:16" ht="11.25" customHeight="1" x14ac:dyDescent="0.3">
      <c r="K70" s="18"/>
      <c r="L70" s="18">
        <f ca="1">SUM($L$63:$L$69,-$L$64)</f>
        <v>24099655.661249705</v>
      </c>
      <c r="M70" s="18">
        <f>SUM($M$63:$M$69,-$M$64)</f>
        <v>44819.609999999993</v>
      </c>
      <c r="N70" s="18"/>
      <c r="O70" s="18"/>
      <c r="P70" s="18"/>
    </row>
  </sheetData>
  <mergeCells count="73">
    <mergeCell ref="E5:E7"/>
    <mergeCell ref="F5:F7"/>
    <mergeCell ref="B10:B14"/>
    <mergeCell ref="C10:C14"/>
    <mergeCell ref="A15:A16"/>
    <mergeCell ref="B15:B16"/>
    <mergeCell ref="C15:C16"/>
    <mergeCell ref="D15:D16"/>
    <mergeCell ref="A5:A14"/>
    <mergeCell ref="B5:B8"/>
    <mergeCell ref="C5:C8"/>
    <mergeCell ref="D5:D8"/>
    <mergeCell ref="D10:D14"/>
    <mergeCell ref="E10:E12"/>
    <mergeCell ref="F10:F12"/>
    <mergeCell ref="E13:E14"/>
    <mergeCell ref="F13:F14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E38:E40"/>
    <mergeCell ref="F38:F40"/>
    <mergeCell ref="A30:A44"/>
    <mergeCell ref="B30:B32"/>
    <mergeCell ref="C30:C32"/>
    <mergeCell ref="D30:D32"/>
    <mergeCell ref="E30:E32"/>
    <mergeCell ref="F30:F32"/>
    <mergeCell ref="B34:B36"/>
    <mergeCell ref="C34:C36"/>
    <mergeCell ref="D34:D36"/>
    <mergeCell ref="E34:E36"/>
    <mergeCell ref="F1:F4"/>
    <mergeCell ref="E45:E47"/>
    <mergeCell ref="F45:F47"/>
    <mergeCell ref="A50:A51"/>
    <mergeCell ref="B50:B51"/>
    <mergeCell ref="C50:C51"/>
    <mergeCell ref="B42:B44"/>
    <mergeCell ref="C42:C44"/>
    <mergeCell ref="A45:A49"/>
    <mergeCell ref="B45:B47"/>
    <mergeCell ref="C45:C47"/>
    <mergeCell ref="D45:D47"/>
    <mergeCell ref="F34:F36"/>
    <mergeCell ref="B38:B40"/>
    <mergeCell ref="C38:C40"/>
    <mergeCell ref="D38:D40"/>
    <mergeCell ref="A1:A4"/>
    <mergeCell ref="B1:B4"/>
    <mergeCell ref="C1:C4"/>
    <mergeCell ref="D1:D4"/>
    <mergeCell ref="E1:E4"/>
    <mergeCell ref="AH3:AL3"/>
    <mergeCell ref="AM3:AM4"/>
    <mergeCell ref="AP1:AP4"/>
    <mergeCell ref="G1:G4"/>
    <mergeCell ref="H1:H4"/>
    <mergeCell ref="I1:I4"/>
    <mergeCell ref="J1:J4"/>
    <mergeCell ref="L1:AM1"/>
    <mergeCell ref="L2:AM2"/>
    <mergeCell ref="L3:T3"/>
    <mergeCell ref="U3:AB3"/>
    <mergeCell ref="AC3:AD3"/>
    <mergeCell ref="AE3:AG3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9C207-8BDD-469C-9538-2A396871669C}">
  <sheetPr codeName="Planilha9"/>
  <dimension ref="A1:AP58"/>
  <sheetViews>
    <sheetView showGridLines="0" topLeftCell="Z35" workbookViewId="0">
      <selection activeCell="AM53" sqref="AM53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8.664062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7.88671875" style="9" bestFit="1" customWidth="1"/>
    <col min="14" max="15" width="4.109375" style="9" bestFit="1" customWidth="1"/>
    <col min="16" max="16" width="4.44140625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10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.88671875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1" width="9.109375" style="9"/>
    <col min="42" max="42" width="7.88671875" style="9" bestFit="1" customWidth="1"/>
    <col min="43" max="16384" width="9.109375" style="9"/>
  </cols>
  <sheetData>
    <row r="1" spans="1:42" ht="11.25" customHeight="1" x14ac:dyDescent="0.3">
      <c r="A1" s="88" t="s">
        <v>59</v>
      </c>
      <c r="B1" s="88" t="s">
        <v>60</v>
      </c>
      <c r="C1" s="88" t="s">
        <v>61</v>
      </c>
      <c r="D1" s="88" t="s">
        <v>62</v>
      </c>
      <c r="E1" s="88" t="s">
        <v>63</v>
      </c>
      <c r="F1" s="88" t="s">
        <v>15</v>
      </c>
      <c r="G1" s="88" t="s">
        <v>65</v>
      </c>
      <c r="H1" s="88" t="s">
        <v>66</v>
      </c>
      <c r="I1" s="88" t="s">
        <v>524</v>
      </c>
      <c r="J1" s="86"/>
      <c r="L1" s="89" t="s">
        <v>532</v>
      </c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P1" s="89" t="s">
        <v>526</v>
      </c>
    </row>
    <row r="2" spans="1:42" ht="11.25" customHeight="1" x14ac:dyDescent="0.3">
      <c r="A2" s="88"/>
      <c r="B2" s="88"/>
      <c r="C2" s="88"/>
      <c r="D2" s="88"/>
      <c r="E2" s="88"/>
      <c r="F2" s="88"/>
      <c r="G2" s="88"/>
      <c r="H2" s="88"/>
      <c r="I2" s="88"/>
      <c r="J2" s="86"/>
      <c r="L2" s="89" t="s">
        <v>423</v>
      </c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P2" s="90"/>
    </row>
    <row r="3" spans="1:42" ht="11.2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6"/>
      <c r="L3" s="89" t="s">
        <v>424</v>
      </c>
      <c r="M3" s="89"/>
      <c r="N3" s="89"/>
      <c r="O3" s="89"/>
      <c r="P3" s="89"/>
      <c r="Q3" s="89"/>
      <c r="R3" s="89"/>
      <c r="S3" s="89"/>
      <c r="T3" s="89"/>
      <c r="U3" s="89" t="s">
        <v>433</v>
      </c>
      <c r="V3" s="89"/>
      <c r="W3" s="89"/>
      <c r="X3" s="89"/>
      <c r="Y3" s="89"/>
      <c r="Z3" s="89"/>
      <c r="AA3" s="89"/>
      <c r="AB3" s="89"/>
      <c r="AC3" s="89" t="s">
        <v>441</v>
      </c>
      <c r="AD3" s="89"/>
      <c r="AE3" s="89" t="s">
        <v>443</v>
      </c>
      <c r="AF3" s="89"/>
      <c r="AG3" s="89"/>
      <c r="AH3" s="89" t="s">
        <v>446</v>
      </c>
      <c r="AI3" s="89"/>
      <c r="AJ3" s="89"/>
      <c r="AK3" s="89"/>
      <c r="AL3" s="89"/>
      <c r="AM3" s="89" t="s">
        <v>432</v>
      </c>
      <c r="AP3" s="90"/>
    </row>
    <row r="4" spans="1:42" ht="11.25" customHeight="1" x14ac:dyDescent="0.3">
      <c r="A4" s="88"/>
      <c r="B4" s="88"/>
      <c r="C4" s="88"/>
      <c r="D4" s="88"/>
      <c r="E4" s="88"/>
      <c r="F4" s="88"/>
      <c r="G4" s="88"/>
      <c r="H4" s="88"/>
      <c r="I4" s="88"/>
      <c r="J4" s="86"/>
      <c r="L4" s="10" t="s">
        <v>509</v>
      </c>
      <c r="M4" s="10" t="s">
        <v>425</v>
      </c>
      <c r="N4" s="10" t="s">
        <v>426</v>
      </c>
      <c r="O4" s="10" t="s">
        <v>427</v>
      </c>
      <c r="P4" s="10" t="s">
        <v>428</v>
      </c>
      <c r="Q4" s="10" t="s">
        <v>429</v>
      </c>
      <c r="R4" s="10" t="s">
        <v>430</v>
      </c>
      <c r="S4" s="10" t="s">
        <v>431</v>
      </c>
      <c r="T4" s="10" t="s">
        <v>432</v>
      </c>
      <c r="U4" s="10" t="s">
        <v>434</v>
      </c>
      <c r="V4" s="10" t="s">
        <v>435</v>
      </c>
      <c r="W4" s="10" t="s">
        <v>436</v>
      </c>
      <c r="X4" s="10" t="s">
        <v>437</v>
      </c>
      <c r="Y4" s="10" t="s">
        <v>438</v>
      </c>
      <c r="Z4" s="10" t="s">
        <v>439</v>
      </c>
      <c r="AA4" s="10" t="s">
        <v>440</v>
      </c>
      <c r="AB4" s="10" t="s">
        <v>432</v>
      </c>
      <c r="AC4" s="10" t="s">
        <v>442</v>
      </c>
      <c r="AD4" s="10" t="s">
        <v>432</v>
      </c>
      <c r="AE4" s="10" t="s">
        <v>444</v>
      </c>
      <c r="AF4" s="10" t="s">
        <v>445</v>
      </c>
      <c r="AG4" s="10" t="s">
        <v>432</v>
      </c>
      <c r="AH4" s="10" t="s">
        <v>447</v>
      </c>
      <c r="AI4" s="10" t="s">
        <v>448</v>
      </c>
      <c r="AJ4" s="10" t="s">
        <v>449</v>
      </c>
      <c r="AK4" s="10" t="s">
        <v>450</v>
      </c>
      <c r="AL4" s="10" t="s">
        <v>432</v>
      </c>
      <c r="AM4" s="91"/>
      <c r="AP4" s="90"/>
    </row>
    <row r="5" spans="1:42" ht="11.25" customHeight="1" x14ac:dyDescent="0.3">
      <c r="A5" s="92" t="s">
        <v>35</v>
      </c>
      <c r="B5" s="92" t="s">
        <v>50</v>
      </c>
      <c r="C5" s="92" t="s">
        <v>25</v>
      </c>
      <c r="D5" s="92" t="s">
        <v>25</v>
      </c>
      <c r="E5" s="92" t="s">
        <v>25</v>
      </c>
      <c r="F5" s="92" t="s">
        <v>25</v>
      </c>
      <c r="G5" s="18" t="s">
        <v>73</v>
      </c>
      <c r="H5" s="18" t="s">
        <v>72</v>
      </c>
      <c r="I5" s="18">
        <f>'MERCADO TUSD'!$U$2</f>
        <v>201</v>
      </c>
      <c r="J5" s="15"/>
      <c r="L5" s="13">
        <f>'TR TUSD'!$L$5*'TR TUSD'!$L$60</f>
        <v>0</v>
      </c>
      <c r="M5" s="13">
        <f>'TR TUSD'!$M$5*'TR TUSD'!$M$60</f>
        <v>0</v>
      </c>
      <c r="N5" s="13">
        <f ca="1">'TR TUSD'!$N$5*'TR TUSD'!$N$60</f>
        <v>0</v>
      </c>
      <c r="O5" s="13">
        <f>'TR TUSD'!$O$5*'TR TUSD'!$O$60</f>
        <v>0</v>
      </c>
      <c r="P5" s="13">
        <f>'TR TUSD'!$P$5*'TR TUSD'!$P$60</f>
        <v>0</v>
      </c>
      <c r="Q5" s="13">
        <f>'TR TUSD'!$Q$5*'TR TUSD'!$Q$60</f>
        <v>0</v>
      </c>
      <c r="R5" s="13">
        <f>'TR TUSD'!$R$5*'TR TUSD'!$R$60</f>
        <v>0</v>
      </c>
      <c r="S5" s="13">
        <f>'TR TUSD'!$S$5*'TR TUSD'!$S$60</f>
        <v>0</v>
      </c>
      <c r="T5" s="13">
        <f ca="1">SUM($L$5:$S$5)</f>
        <v>0</v>
      </c>
      <c r="U5" s="13">
        <f>'TR TUSD'!$U$5*'TR TUSD'!$U$60</f>
        <v>0</v>
      </c>
      <c r="V5" s="13">
        <f>'TR TUSD'!$V$5*'TR TUSD'!$V$60</f>
        <v>0</v>
      </c>
      <c r="W5" s="13">
        <f>'TR TUSD'!$W$5*'TR TUSD'!$W$60</f>
        <v>0</v>
      </c>
      <c r="X5" s="13">
        <f>'TR TUSD'!$X$5*'TR TUSD'!$X$60</f>
        <v>0</v>
      </c>
      <c r="Y5" s="13">
        <f>'TR TUSD'!$Y$5*'TR TUSD'!$Y$60</f>
        <v>31.618589280216984</v>
      </c>
      <c r="Z5" s="13">
        <f>'TR TUSD'!$Z$5</f>
        <v>0</v>
      </c>
      <c r="AA5" s="13">
        <f>'TR TUSD'!$AA$5</f>
        <v>0</v>
      </c>
      <c r="AB5" s="13">
        <f>SUM($U$5:$AA$5)</f>
        <v>31.618589280216984</v>
      </c>
      <c r="AC5" s="13">
        <f>'TR TUSD'!$AC$5*'TR TUSD'!$AC$60</f>
        <v>105.49895065103591</v>
      </c>
      <c r="AD5" s="13">
        <f>SUM($AC$5:$AC$5)</f>
        <v>105.49895065103591</v>
      </c>
      <c r="AE5" s="13">
        <v>0</v>
      </c>
      <c r="AF5" s="13">
        <v>0</v>
      </c>
      <c r="AG5" s="13">
        <f>SUM($AE$5:$AF$5)</f>
        <v>0</v>
      </c>
      <c r="AH5" s="13">
        <f>'TR TUSD'!$AH$5*'TR TUSD'!$AH$60</f>
        <v>0</v>
      </c>
      <c r="AI5" s="13">
        <f>'TR TUSD'!$AI$5*'TR TUSD'!$AI$60</f>
        <v>0</v>
      </c>
      <c r="AJ5" s="13">
        <f ca="1">'TR TUSD'!$AJ$5*'TR TUSD'!$AJ$60</f>
        <v>0</v>
      </c>
      <c r="AK5" s="13">
        <f ca="1">'TR TUSD'!$AK$5*'TR TUSD'!$AK$60</f>
        <v>0</v>
      </c>
      <c r="AL5" s="13">
        <f ca="1">SUM($AH$5:$AK$5)</f>
        <v>0</v>
      </c>
      <c r="AM5" s="13">
        <f ca="1">SUMIF($L$4:$AL$4,"SUBTOTAL",$L$5:$AL$5)</f>
        <v>137.11753993125291</v>
      </c>
      <c r="AP5" s="13">
        <v>1</v>
      </c>
    </row>
    <row r="6" spans="1:42" ht="11.25" customHeight="1" x14ac:dyDescent="0.3">
      <c r="A6" s="92"/>
      <c r="B6" s="92"/>
      <c r="C6" s="92"/>
      <c r="D6" s="92"/>
      <c r="E6" s="92"/>
      <c r="F6" s="92"/>
      <c r="G6" s="18" t="s">
        <v>74</v>
      </c>
      <c r="H6" s="18" t="s">
        <v>72</v>
      </c>
      <c r="I6" s="18">
        <f>'MERCADO TUSD'!$U$3</f>
        <v>201</v>
      </c>
      <c r="J6" s="15"/>
      <c r="L6" s="13">
        <f>'TR TUSD'!$L$6*'TR TUSD'!$L$60</f>
        <v>0</v>
      </c>
      <c r="M6" s="13">
        <f>'TR TUSD'!$M$6*'TR TUSD'!$M$60</f>
        <v>0</v>
      </c>
      <c r="N6" s="13">
        <f ca="1">'TR TUSD'!$N$6*'TR TUSD'!$N$60</f>
        <v>0</v>
      </c>
      <c r="O6" s="13">
        <f>'TR TUSD'!$O$6*'TR TUSD'!$O$60</f>
        <v>0</v>
      </c>
      <c r="P6" s="13">
        <f>'TR TUSD'!$P$6*'TR TUSD'!$P$60</f>
        <v>0</v>
      </c>
      <c r="Q6" s="13">
        <f>'TR TUSD'!$Q$6*'TR TUSD'!$Q$60</f>
        <v>0</v>
      </c>
      <c r="R6" s="13">
        <f>'TR TUSD'!$R$6*'TR TUSD'!$R$60</f>
        <v>0</v>
      </c>
      <c r="S6" s="13">
        <f>'TR TUSD'!$S$6*'TR TUSD'!$S$60</f>
        <v>0</v>
      </c>
      <c r="T6" s="13">
        <f ca="1">SUM($L$6:$S$6)</f>
        <v>0</v>
      </c>
      <c r="U6" s="13">
        <f>'TR TUSD'!$U$6*'TR TUSD'!$U$60</f>
        <v>0</v>
      </c>
      <c r="V6" s="13">
        <f>'TR TUSD'!$V$6*'TR TUSD'!$V$60</f>
        <v>0</v>
      </c>
      <c r="W6" s="13">
        <f>'TR TUSD'!$W$6*'TR TUSD'!$W$60</f>
        <v>0</v>
      </c>
      <c r="X6" s="13">
        <f>'TR TUSD'!$X$6*'TR TUSD'!$X$60</f>
        <v>0</v>
      </c>
      <c r="Y6" s="13">
        <f>'TR TUSD'!$Y$6*'TR TUSD'!$Y$60</f>
        <v>18.236677564011373</v>
      </c>
      <c r="Z6" s="13">
        <f>'TR TUSD'!$Z$6</f>
        <v>0</v>
      </c>
      <c r="AA6" s="13">
        <f>'TR TUSD'!$AA$6</f>
        <v>0</v>
      </c>
      <c r="AB6" s="13">
        <f>SUM($U$6:$AA$6)</f>
        <v>18.236677564011373</v>
      </c>
      <c r="AC6" s="13">
        <f>'TR TUSD'!$AC$6*'TR TUSD'!$AC$60</f>
        <v>28.874800335710518</v>
      </c>
      <c r="AD6" s="13">
        <f>SUM($AC$6:$AC$6)</f>
        <v>28.874800335710518</v>
      </c>
      <c r="AE6" s="13">
        <v>0</v>
      </c>
      <c r="AF6" s="13">
        <v>0</v>
      </c>
      <c r="AG6" s="13">
        <f>SUM($AE$6:$AF$6)</f>
        <v>0</v>
      </c>
      <c r="AH6" s="13">
        <f>'TR TUSD'!$AH$6*'TR TUSD'!$AH$60</f>
        <v>0</v>
      </c>
      <c r="AI6" s="13">
        <f>'TR TUSD'!$AI$6*'TR TUSD'!$AI$60</f>
        <v>0</v>
      </c>
      <c r="AJ6" s="13">
        <f ca="1">'TR TUSD'!$AJ$6*'TR TUSD'!$AJ$60</f>
        <v>0</v>
      </c>
      <c r="AK6" s="13">
        <f ca="1">'TR TUSD'!$AK$6*'TR TUSD'!$AK$60</f>
        <v>0</v>
      </c>
      <c r="AL6" s="13">
        <f ca="1">SUM($AH$6:$AK$6)</f>
        <v>0</v>
      </c>
      <c r="AM6" s="13">
        <f ca="1">SUMIF($L$4:$AL$4,"SUBTOTAL",$L$6:$AL$6)</f>
        <v>47.111477899721891</v>
      </c>
      <c r="AP6" s="13">
        <v>1</v>
      </c>
    </row>
    <row r="7" spans="1:42" ht="11.25" customHeight="1" x14ac:dyDescent="0.3">
      <c r="A7" s="92"/>
      <c r="B7" s="92"/>
      <c r="C7" s="92"/>
      <c r="D7" s="92"/>
      <c r="E7" s="92"/>
      <c r="F7" s="92"/>
      <c r="G7" s="18" t="s">
        <v>75</v>
      </c>
      <c r="H7" s="18" t="s">
        <v>69</v>
      </c>
      <c r="I7" s="18">
        <f>'MERCADO TUSD'!$U$4</f>
        <v>89.552999999999997</v>
      </c>
      <c r="J7" s="15"/>
      <c r="L7" s="13">
        <f>'TR TUSD'!$L$7*'TR TUSD'!$L$60</f>
        <v>0</v>
      </c>
      <c r="M7" s="13">
        <f>'TR TUSD'!$M$7*'TR TUSD'!$M$60</f>
        <v>0.97109617137201765</v>
      </c>
      <c r="N7" s="13">
        <f ca="1">'TR TUSD'!$N$7*'TR TUSD'!$N$60</f>
        <v>0</v>
      </c>
      <c r="O7" s="13">
        <f>'TR TUSD'!$O$7*'TR TUSD'!$O$60</f>
        <v>0</v>
      </c>
      <c r="P7" s="13">
        <f>'TR TUSD'!$P$7*'TR TUSD'!$P$60</f>
        <v>0</v>
      </c>
      <c r="Q7" s="13">
        <f>'TR TUSD'!$Q$7*'TR TUSD'!$Q$60</f>
        <v>75.927634464274774</v>
      </c>
      <c r="R7" s="13">
        <f>'TR TUSD'!$R$7*'TR TUSD'!$R$60</f>
        <v>14.275958322555534</v>
      </c>
      <c r="S7" s="13">
        <f>'TR TUSD'!$S$7*'TR TUSD'!$S$60</f>
        <v>0</v>
      </c>
      <c r="T7" s="13">
        <f ca="1">SUM($L$7:$S$7)</f>
        <v>91.174688958202324</v>
      </c>
      <c r="U7" s="13">
        <f>'TR TUSD'!$U$7*'TR TUSD'!$U$60</f>
        <v>0</v>
      </c>
      <c r="V7" s="13">
        <f>'TR TUSD'!$V$7*'TR TUSD'!$V$60</f>
        <v>0</v>
      </c>
      <c r="W7" s="13">
        <f>'TR TUSD'!$W$7*'TR TUSD'!$W$60</f>
        <v>0</v>
      </c>
      <c r="X7" s="13">
        <f>'TR TUSD'!$X$7*'TR TUSD'!$X$60</f>
        <v>0</v>
      </c>
      <c r="Y7" s="13">
        <f>'TR TUSD'!$Y$7*'TR TUSD'!$Y$60</f>
        <v>0</v>
      </c>
      <c r="Z7" s="13">
        <f>'TR TUSD'!$Z$7</f>
        <v>0</v>
      </c>
      <c r="AA7" s="13">
        <f>'TR TUSD'!$AA$7</f>
        <v>0</v>
      </c>
      <c r="AB7" s="13">
        <f>SUM($U$7:$AA$7)</f>
        <v>0</v>
      </c>
      <c r="AC7" s="13">
        <f>'TR TUSD'!$AC$7*'TR TUSD'!$AC$60</f>
        <v>0</v>
      </c>
      <c r="AD7" s="13">
        <f>SUM($AC$7:$AC$7)</f>
        <v>0</v>
      </c>
      <c r="AE7" s="13">
        <v>0</v>
      </c>
      <c r="AF7" s="13">
        <v>0</v>
      </c>
      <c r="AG7" s="13">
        <f>SUM($AE$7:$AF$7)</f>
        <v>0</v>
      </c>
      <c r="AH7" s="13">
        <f>'TR TUSD'!$AH$7*'TR TUSD'!$AH$60</f>
        <v>10.846783327494657</v>
      </c>
      <c r="AI7" s="13">
        <f>'TR TUSD'!$AI$7*'TR TUSD'!$AI$60</f>
        <v>0</v>
      </c>
      <c r="AJ7" s="13">
        <f ca="1">'TR TUSD'!$AJ$7*'TR TUSD'!$AJ$60</f>
        <v>0</v>
      </c>
      <c r="AK7" s="13">
        <f ca="1">'TR TUSD'!$AK$7*'TR TUSD'!$AK$60</f>
        <v>0</v>
      </c>
      <c r="AL7" s="13">
        <f ca="1">SUM($AH$7:$AK$7)</f>
        <v>10.846783327494657</v>
      </c>
      <c r="AM7" s="13">
        <f ca="1">SUMIF($L$4:$AL$4,"SUBTOTAL",$L$7:$AL$7)</f>
        <v>102.02147228569699</v>
      </c>
      <c r="AP7" s="13">
        <v>1</v>
      </c>
    </row>
    <row r="8" spans="1:42" ht="11.25" customHeight="1" x14ac:dyDescent="0.3">
      <c r="A8" s="92"/>
      <c r="B8" s="92"/>
      <c r="C8" s="92"/>
      <c r="D8" s="92"/>
      <c r="E8" s="17" t="s">
        <v>76</v>
      </c>
      <c r="F8" s="17" t="s">
        <v>25</v>
      </c>
      <c r="G8" s="18" t="s">
        <v>75</v>
      </c>
      <c r="H8" s="18" t="s">
        <v>69</v>
      </c>
      <c r="I8" s="18">
        <f>'MERCADO TUSD'!$U$5</f>
        <v>0</v>
      </c>
      <c r="J8" s="15"/>
      <c r="L8" s="13">
        <f>'TR TUSD'!$L$8*'TR TUSD'!$L$60</f>
        <v>0</v>
      </c>
      <c r="M8" s="13">
        <f>'TR TUSD'!$M$8*'TR TUSD'!$M$60</f>
        <v>0.97109617137201765</v>
      </c>
      <c r="N8" s="13">
        <f ca="1">'TR TUSD'!$N$8*'TR TUSD'!$N$60</f>
        <v>0</v>
      </c>
      <c r="O8" s="13">
        <f>'TR TUSD'!$O$8*'TR TUSD'!$O$60</f>
        <v>0</v>
      </c>
      <c r="P8" s="13">
        <f>'TR TUSD'!$P$8*'TR TUSD'!$P$60</f>
        <v>0</v>
      </c>
      <c r="Q8" s="13">
        <f>'TR TUSD'!$Q$8*'TR TUSD'!$Q$60</f>
        <v>0</v>
      </c>
      <c r="R8" s="13">
        <f>'TR TUSD'!$R$8*'TR TUSD'!$R$60</f>
        <v>0</v>
      </c>
      <c r="S8" s="13">
        <f>'TR TUSD'!$S$8*'TR TUSD'!$S$60</f>
        <v>0</v>
      </c>
      <c r="T8" s="13">
        <f ca="1">SUM($L$8:$S$8)</f>
        <v>0.97109617137201765</v>
      </c>
      <c r="U8" s="13">
        <f>'TR TUSD'!$U$8*'TR TUSD'!$U$60</f>
        <v>0</v>
      </c>
      <c r="V8" s="13">
        <f>'TR TUSD'!$V$8*'TR TUSD'!$V$60</f>
        <v>0</v>
      </c>
      <c r="W8" s="13">
        <f>'TR TUSD'!$W$8*'TR TUSD'!$W$60</f>
        <v>0</v>
      </c>
      <c r="X8" s="13">
        <f>'TR TUSD'!$X$8*'TR TUSD'!$X$60</f>
        <v>0</v>
      </c>
      <c r="Y8" s="13">
        <f>'TR TUSD'!$Y$8*'TR TUSD'!$Y$60</f>
        <v>0</v>
      </c>
      <c r="Z8" s="13">
        <f>'TR TUSD'!$Z$8</f>
        <v>0</v>
      </c>
      <c r="AA8" s="13">
        <f>'TR TUSD'!$AA$8</f>
        <v>0</v>
      </c>
      <c r="AB8" s="13">
        <f>SUM($U$8:$AA$8)</f>
        <v>0</v>
      </c>
      <c r="AC8" s="13">
        <f>'TR TUSD'!$AC$8*'TR TUSD'!$AC$60</f>
        <v>0</v>
      </c>
      <c r="AD8" s="13">
        <f>SUM($AC$8:$AC$8)</f>
        <v>0</v>
      </c>
      <c r="AE8" s="13">
        <v>0</v>
      </c>
      <c r="AF8" s="13">
        <v>0</v>
      </c>
      <c r="AG8" s="13">
        <f>SUM($AE$8:$AF$8)</f>
        <v>0</v>
      </c>
      <c r="AH8" s="13">
        <f>'TR TUSD'!$AH$8*'TR TUSD'!$AH$60</f>
        <v>10.846783327494657</v>
      </c>
      <c r="AI8" s="13">
        <f>'TR TUSD'!$AI$8*'TR TUSD'!$AI$60</f>
        <v>0</v>
      </c>
      <c r="AJ8" s="13">
        <f ca="1">'TR TUSD'!$AJ$8*'TR TUSD'!$AJ$60</f>
        <v>0</v>
      </c>
      <c r="AK8" s="13">
        <f ca="1">'TR TUSD'!$AK$8*'TR TUSD'!$AK$60</f>
        <v>0</v>
      </c>
      <c r="AL8" s="13">
        <f ca="1">SUM($AH$8:$AK$8)</f>
        <v>10.846783327494657</v>
      </c>
      <c r="AM8" s="13">
        <f ca="1">SUMIF($L$4:$AL$4,"SUBTOTAL",$L$8:$AL$8)</f>
        <v>11.817879498866676</v>
      </c>
      <c r="AP8" s="13">
        <v>1</v>
      </c>
    </row>
    <row r="9" spans="1:42" ht="11.25" customHeight="1" x14ac:dyDescent="0.3">
      <c r="A9" s="92"/>
      <c r="B9" s="17" t="s">
        <v>77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72</v>
      </c>
      <c r="I9" s="18">
        <f>'MERCADO TUSD'!$U$6</f>
        <v>0</v>
      </c>
      <c r="J9" s="15"/>
      <c r="L9" s="13">
        <f>'TR TUSD'!$L$9*'TR TUSD'!$L$60</f>
        <v>0</v>
      </c>
      <c r="M9" s="13">
        <f>'TR TUSD'!$M$9*'TR TUSD'!$M$60</f>
        <v>1.2094084376214741E-2</v>
      </c>
      <c r="N9" s="13">
        <f ca="1">'TR TUSD'!$N$9*'TR TUSD'!$N$60</f>
        <v>0</v>
      </c>
      <c r="O9" s="13">
        <f>'TR TUSD'!$O$9*'TR TUSD'!$O$60</f>
        <v>0</v>
      </c>
      <c r="P9" s="13">
        <f>'TR TUSD'!$P$9*'TR TUSD'!$P$60</f>
        <v>0</v>
      </c>
      <c r="Q9" s="13">
        <f>'TR TUSD'!$Q$9*'TR TUSD'!$Q$60</f>
        <v>0</v>
      </c>
      <c r="R9" s="13">
        <f>'TR TUSD'!$R$9*'TR TUSD'!$R$60</f>
        <v>0</v>
      </c>
      <c r="S9" s="13">
        <f>'TR TUSD'!$S$9*'TR TUSD'!$S$60</f>
        <v>0</v>
      </c>
      <c r="T9" s="13">
        <f ca="1">SUM($L$9:$S$9)</f>
        <v>1.2094084376214741E-2</v>
      </c>
      <c r="U9" s="13">
        <f>'TR TUSD'!$U$9*'TR TUSD'!$U$60</f>
        <v>0</v>
      </c>
      <c r="V9" s="13">
        <f>'TR TUSD'!$V$9*'TR TUSD'!$V$60</f>
        <v>0</v>
      </c>
      <c r="W9" s="13">
        <f>'TR TUSD'!$W$9*'TR TUSD'!$W$60</f>
        <v>0</v>
      </c>
      <c r="X9" s="13">
        <f>'TR TUSD'!$X$9*'TR TUSD'!$X$60</f>
        <v>0</v>
      </c>
      <c r="Y9" s="13">
        <f>'TR TUSD'!$Y$9*'TR TUSD'!$Y$60</f>
        <v>0</v>
      </c>
      <c r="Z9" s="13">
        <f>'TR TUSD'!$Z$9*'TR TUSD'!$Z$60</f>
        <v>0</v>
      </c>
      <c r="AA9" s="13">
        <f>'TR TUSD'!$AA$9*'TR TUSD'!$AA$60</f>
        <v>0</v>
      </c>
      <c r="AB9" s="13">
        <f>SUM($U$9:$AA$9)</f>
        <v>0</v>
      </c>
      <c r="AC9" s="13">
        <f>'TR TUSD'!$AC$9*'TR TUSD'!$AC$60</f>
        <v>16.115642226742111</v>
      </c>
      <c r="AD9" s="13">
        <f>SUM($AC$9:$AC$9)</f>
        <v>16.115642226742111</v>
      </c>
      <c r="AE9" s="13">
        <v>0</v>
      </c>
      <c r="AF9" s="13">
        <v>0</v>
      </c>
      <c r="AG9" s="13">
        <f>SUM($AE$9:$AF$9)</f>
        <v>0</v>
      </c>
      <c r="AH9" s="13">
        <f>'TR TUSD'!$AH$9*'TR TUSD'!$AH$60</f>
        <v>0</v>
      </c>
      <c r="AI9" s="13">
        <f>'TR TUSD'!$AI$9*'TR TUSD'!$AI$60</f>
        <v>0</v>
      </c>
      <c r="AJ9" s="13">
        <f ca="1">'TR TUSD'!$AJ$9*'TR TUSD'!$AJ$60</f>
        <v>0</v>
      </c>
      <c r="AK9" s="13">
        <f ca="1">'TR TUSD'!$AK$9*'TR TUSD'!$AK$60</f>
        <v>0</v>
      </c>
      <c r="AL9" s="13">
        <f ca="1">SUM($AH$9:$AK$9)</f>
        <v>0</v>
      </c>
      <c r="AM9" s="13">
        <f ca="1">SUMIF($L$4:$AL$4,"SUBTOTAL",$L$9:$AL$9)</f>
        <v>16.127736311118326</v>
      </c>
      <c r="AP9" s="13"/>
    </row>
    <row r="10" spans="1:42" ht="11.25" customHeight="1" x14ac:dyDescent="0.3">
      <c r="A10" s="92"/>
      <c r="B10" s="92" t="s">
        <v>36</v>
      </c>
      <c r="C10" s="92" t="s">
        <v>25</v>
      </c>
      <c r="D10" s="92" t="s">
        <v>25</v>
      </c>
      <c r="E10" s="92" t="s">
        <v>25</v>
      </c>
      <c r="F10" s="92" t="s">
        <v>25</v>
      </c>
      <c r="G10" s="18" t="s">
        <v>9</v>
      </c>
      <c r="H10" s="18" t="s">
        <v>72</v>
      </c>
      <c r="I10" s="18">
        <f>'MERCADO TUSD'!$U$7</f>
        <v>129328</v>
      </c>
      <c r="J10" s="15"/>
      <c r="L10" s="13">
        <f>'TR TUSD'!$L$10*'TR TUSD'!$L$60</f>
        <v>0</v>
      </c>
      <c r="M10" s="13">
        <f>'TR TUSD'!$M$10*'TR TUSD'!$M$60</f>
        <v>0</v>
      </c>
      <c r="N10" s="13">
        <f ca="1">'TR TUSD'!$N$10*'TR TUSD'!$N$60</f>
        <v>0</v>
      </c>
      <c r="O10" s="13">
        <f>'TR TUSD'!$O$10*'TR TUSD'!$O$60</f>
        <v>0</v>
      </c>
      <c r="P10" s="13">
        <f>'TR TUSD'!$P$10*'TR TUSD'!$P$60</f>
        <v>0</v>
      </c>
      <c r="Q10" s="13">
        <f>'TR TUSD'!$Q$10*'TR TUSD'!$Q$60</f>
        <v>0</v>
      </c>
      <c r="R10" s="13">
        <f>'TR TUSD'!$R$10*'TR TUSD'!$R$60</f>
        <v>0</v>
      </c>
      <c r="S10" s="13">
        <f>'TR TUSD'!$S$10*'TR TUSD'!$S$60</f>
        <v>0</v>
      </c>
      <c r="T10" s="13">
        <f ca="1">SUM($L$10:$S$10)</f>
        <v>0</v>
      </c>
      <c r="U10" s="13">
        <f>'TR TUSD'!$U$10*'TR TUSD'!$U$60</f>
        <v>0</v>
      </c>
      <c r="V10" s="13">
        <f>'TR TUSD'!$V$10*'TR TUSD'!$V$60</f>
        <v>0</v>
      </c>
      <c r="W10" s="13">
        <f>'TR TUSD'!$W$10*'TR TUSD'!$W$60</f>
        <v>0</v>
      </c>
      <c r="X10" s="13">
        <f>'TR TUSD'!$X$10*'TR TUSD'!$X$60</f>
        <v>0</v>
      </c>
      <c r="Y10" s="13">
        <f>'TR TUSD'!$Y$10*'TR TUSD'!$Y$60</f>
        <v>18.236677564011373</v>
      </c>
      <c r="Z10" s="13">
        <f>'TR TUSD'!$Z$10</f>
        <v>0</v>
      </c>
      <c r="AA10" s="13">
        <f>'TR TUSD'!$AA$10</f>
        <v>0</v>
      </c>
      <c r="AB10" s="13">
        <f>SUM($U$10:$AA$10)</f>
        <v>18.236677564011373</v>
      </c>
      <c r="AC10" s="13">
        <f>'TR TUSD'!$AC$10*'TR TUSD'!$AC$60</f>
        <v>28.874800335710518</v>
      </c>
      <c r="AD10" s="13">
        <f>SUM($AC$10:$AC$10)</f>
        <v>28.874800335710518</v>
      </c>
      <c r="AE10" s="13">
        <v>0</v>
      </c>
      <c r="AF10" s="13">
        <v>0</v>
      </c>
      <c r="AG10" s="13">
        <f>SUM($AE$10:$AF$10)</f>
        <v>0</v>
      </c>
      <c r="AH10" s="13">
        <f>'TR TUSD'!$AH$10*'TR TUSD'!$AH$60</f>
        <v>0</v>
      </c>
      <c r="AI10" s="13">
        <f>'TR TUSD'!$AI$10*'TR TUSD'!$AI$60</f>
        <v>0</v>
      </c>
      <c r="AJ10" s="13">
        <f ca="1">'TR TUSD'!$AJ$10*'TR TUSD'!$AJ$60</f>
        <v>0</v>
      </c>
      <c r="AK10" s="13">
        <f ca="1">'TR TUSD'!$AK$10*'TR TUSD'!$AK$60</f>
        <v>0</v>
      </c>
      <c r="AL10" s="13">
        <f ca="1">SUM($AH$10:$AK$10)</f>
        <v>0</v>
      </c>
      <c r="AM10" s="13">
        <f ca="1">SUMIF($L$4:$AL$4,"SUBTOTAL",$L$10:$AL$10)</f>
        <v>47.111477899721891</v>
      </c>
      <c r="AP10" s="13">
        <v>1</v>
      </c>
    </row>
    <row r="11" spans="1:42" ht="11.25" customHeight="1" x14ac:dyDescent="0.3">
      <c r="A11" s="92"/>
      <c r="B11" s="92"/>
      <c r="C11" s="92"/>
      <c r="D11" s="92"/>
      <c r="E11" s="92"/>
      <c r="F11" s="92"/>
      <c r="G11" s="18" t="s">
        <v>70</v>
      </c>
      <c r="H11" s="18" t="s">
        <v>69</v>
      </c>
      <c r="I11" s="18">
        <f>'MERCADO TUSD'!$U$8</f>
        <v>1239.3609999999999</v>
      </c>
      <c r="J11" s="15"/>
      <c r="L11" s="13">
        <f>'TR TUSD'!$L$11*'TR TUSD'!$L$60</f>
        <v>0</v>
      </c>
      <c r="M11" s="13">
        <f>'TR TUSD'!$M$11*'TR TUSD'!$M$60</f>
        <v>0.97109617137201765</v>
      </c>
      <c r="N11" s="13">
        <f ca="1">'TR TUSD'!$N$11*'TR TUSD'!$N$60</f>
        <v>0</v>
      </c>
      <c r="O11" s="13">
        <f>'TR TUSD'!$O$11*'TR TUSD'!$O$60</f>
        <v>0</v>
      </c>
      <c r="P11" s="13">
        <f>'TR TUSD'!$P$11*'TR TUSD'!$P$60</f>
        <v>0</v>
      </c>
      <c r="Q11" s="13">
        <f>'TR TUSD'!$Q$11*'TR TUSD'!$Q$60</f>
        <v>75.927634464274774</v>
      </c>
      <c r="R11" s="13">
        <f>'TR TUSD'!$R$11*'TR TUSD'!$R$60</f>
        <v>14.275958322555534</v>
      </c>
      <c r="S11" s="13">
        <f>'TR TUSD'!$S$11*'TR TUSD'!$S$60</f>
        <v>0</v>
      </c>
      <c r="T11" s="13">
        <f ca="1">SUM($L$11:$S$11)</f>
        <v>91.174688958202324</v>
      </c>
      <c r="U11" s="13">
        <f>'TR TUSD'!$U$11*'TR TUSD'!$U$60</f>
        <v>0</v>
      </c>
      <c r="V11" s="13">
        <f>'TR TUSD'!$V$11*'TR TUSD'!$V$60</f>
        <v>0</v>
      </c>
      <c r="W11" s="13">
        <f>'TR TUSD'!$W$11*'TR TUSD'!$W$60</f>
        <v>0</v>
      </c>
      <c r="X11" s="13">
        <f>'TR TUSD'!$X$11*'TR TUSD'!$X$60</f>
        <v>0</v>
      </c>
      <c r="Y11" s="13">
        <f>'TR TUSD'!$Y$11*'TR TUSD'!$Y$60</f>
        <v>761.14840491709367</v>
      </c>
      <c r="Z11" s="13">
        <f>'TR TUSD'!$Z$11</f>
        <v>0</v>
      </c>
      <c r="AA11" s="13">
        <f>'TR TUSD'!$AA$11</f>
        <v>0</v>
      </c>
      <c r="AB11" s="13">
        <f>SUM($U$11:$AA$11)</f>
        <v>761.14840491709367</v>
      </c>
      <c r="AC11" s="13">
        <f>'TR TUSD'!$AC$11*'TR TUSD'!$AC$60</f>
        <v>2537.2492034380925</v>
      </c>
      <c r="AD11" s="13">
        <f>SUM($AC$11:$AC$11)</f>
        <v>2537.2492034380925</v>
      </c>
      <c r="AE11" s="13">
        <v>0</v>
      </c>
      <c r="AF11" s="13">
        <v>0</v>
      </c>
      <c r="AG11" s="13">
        <f>SUM($AE$11:$AF$11)</f>
        <v>0</v>
      </c>
      <c r="AH11" s="13">
        <f>'TR TUSD'!$AH$11*'TR TUSD'!$AH$60</f>
        <v>10.846783327494657</v>
      </c>
      <c r="AI11" s="13">
        <f>'TR TUSD'!$AI$11*'TR TUSD'!$AI$60</f>
        <v>0</v>
      </c>
      <c r="AJ11" s="13">
        <f ca="1">'TR TUSD'!$AJ$11*'TR TUSD'!$AJ$60</f>
        <v>0</v>
      </c>
      <c r="AK11" s="13">
        <f ca="1">'TR TUSD'!$AK$11*'TR TUSD'!$AK$60</f>
        <v>0</v>
      </c>
      <c r="AL11" s="13">
        <f ca="1">SUM($AH$11:$AK$11)</f>
        <v>10.846783327494657</v>
      </c>
      <c r="AM11" s="13">
        <f ca="1">SUMIF($L$4:$AL$4,"SUBTOTAL",$L$11:$AL$11)</f>
        <v>3400.4190806408828</v>
      </c>
      <c r="AP11" s="13">
        <v>1</v>
      </c>
    </row>
    <row r="12" spans="1:42" ht="11.25" customHeight="1" x14ac:dyDescent="0.3">
      <c r="A12" s="92"/>
      <c r="B12" s="92"/>
      <c r="C12" s="92"/>
      <c r="D12" s="92"/>
      <c r="E12" s="92"/>
      <c r="F12" s="92"/>
      <c r="G12" s="18" t="s">
        <v>71</v>
      </c>
      <c r="H12" s="18" t="s">
        <v>69</v>
      </c>
      <c r="I12" s="18">
        <f>'MERCADO TUSD'!$U$9</f>
        <v>28573.93</v>
      </c>
      <c r="J12" s="15"/>
      <c r="L12" s="13">
        <f>'TR TUSD'!$L$12*'TR TUSD'!$L$60</f>
        <v>0</v>
      </c>
      <c r="M12" s="13">
        <f>'TR TUSD'!$M$12*'TR TUSD'!$M$60</f>
        <v>0.97109617137201765</v>
      </c>
      <c r="N12" s="13">
        <f ca="1">'TR TUSD'!$N$12*'TR TUSD'!$N$60</f>
        <v>0</v>
      </c>
      <c r="O12" s="13">
        <f>'TR TUSD'!$O$12*'TR TUSD'!$O$60</f>
        <v>0</v>
      </c>
      <c r="P12" s="13">
        <f>'TR TUSD'!$P$12*'TR TUSD'!$P$60</f>
        <v>0</v>
      </c>
      <c r="Q12" s="13">
        <f>'TR TUSD'!$Q$12*'TR TUSD'!$Q$60</f>
        <v>75.927634464274774</v>
      </c>
      <c r="R12" s="13">
        <f>'TR TUSD'!$R$12*'TR TUSD'!$R$60</f>
        <v>14.275958322555534</v>
      </c>
      <c r="S12" s="13">
        <f>'TR TUSD'!$S$12*'TR TUSD'!$S$60</f>
        <v>0</v>
      </c>
      <c r="T12" s="13">
        <f ca="1">SUM($L$12:$S$12)</f>
        <v>91.174688958202324</v>
      </c>
      <c r="U12" s="13">
        <f>'TR TUSD'!$U$12*'TR TUSD'!$U$60</f>
        <v>0</v>
      </c>
      <c r="V12" s="13">
        <f>'TR TUSD'!$V$12*'TR TUSD'!$V$60</f>
        <v>0</v>
      </c>
      <c r="W12" s="13">
        <f>'TR TUSD'!$W$12*'TR TUSD'!$W$60</f>
        <v>0</v>
      </c>
      <c r="X12" s="13">
        <f>'TR TUSD'!$X$12*'TR TUSD'!$X$60</f>
        <v>0</v>
      </c>
      <c r="Y12" s="13">
        <f>'TR TUSD'!$Y$12*'TR TUSD'!$Y$60</f>
        <v>0</v>
      </c>
      <c r="Z12" s="13">
        <f>'TR TUSD'!$Z$12</f>
        <v>0</v>
      </c>
      <c r="AA12" s="13">
        <f>'TR TUSD'!$AA$12</f>
        <v>0</v>
      </c>
      <c r="AB12" s="13">
        <f>SUM($U$12:$AA$12)</f>
        <v>0</v>
      </c>
      <c r="AC12" s="13">
        <f>'TR TUSD'!$AC$12*'TR TUSD'!$AC$60</f>
        <v>0</v>
      </c>
      <c r="AD12" s="13">
        <f>SUM($AC$12:$AC$12)</f>
        <v>0</v>
      </c>
      <c r="AE12" s="13">
        <v>0</v>
      </c>
      <c r="AF12" s="13">
        <v>0</v>
      </c>
      <c r="AG12" s="13">
        <f>SUM($AE$12:$AF$12)</f>
        <v>0</v>
      </c>
      <c r="AH12" s="13">
        <f>'TR TUSD'!$AH$12*'TR TUSD'!$AH$60</f>
        <v>10.846783327494657</v>
      </c>
      <c r="AI12" s="13">
        <f>'TR TUSD'!$AI$12*'TR TUSD'!$AI$60</f>
        <v>0</v>
      </c>
      <c r="AJ12" s="13">
        <f ca="1">'TR TUSD'!$AJ$12*'TR TUSD'!$AJ$60</f>
        <v>0</v>
      </c>
      <c r="AK12" s="13">
        <f ca="1">'TR TUSD'!$AK$12*'TR TUSD'!$AK$60</f>
        <v>0</v>
      </c>
      <c r="AL12" s="13">
        <f ca="1">SUM($AH$12:$AK$12)</f>
        <v>10.846783327494657</v>
      </c>
      <c r="AM12" s="13">
        <f ca="1">SUMIF($L$4:$AL$4,"SUBTOTAL",$L$12:$AL$12)</f>
        <v>102.02147228569699</v>
      </c>
      <c r="AP12" s="13">
        <v>1</v>
      </c>
    </row>
    <row r="13" spans="1:42" ht="11.25" customHeight="1" x14ac:dyDescent="0.3">
      <c r="A13" s="92"/>
      <c r="B13" s="92"/>
      <c r="C13" s="92"/>
      <c r="D13" s="92"/>
      <c r="E13" s="92" t="s">
        <v>76</v>
      </c>
      <c r="F13" s="92" t="s">
        <v>25</v>
      </c>
      <c r="G13" s="18" t="s">
        <v>70</v>
      </c>
      <c r="H13" s="18" t="s">
        <v>69</v>
      </c>
      <c r="I13" s="18">
        <f>'MERCADO TUSD'!$U$10</f>
        <v>0</v>
      </c>
      <c r="J13" s="15"/>
      <c r="L13" s="13">
        <f>'TR TUSD'!$L$13*'TR TUSD'!$L$60</f>
        <v>0</v>
      </c>
      <c r="M13" s="13">
        <f>'TR TUSD'!$M$13*'TR TUSD'!$M$60</f>
        <v>0.97109617137201765</v>
      </c>
      <c r="N13" s="13">
        <f ca="1">'TR TUSD'!$N$13*'TR TUSD'!$N$60</f>
        <v>0</v>
      </c>
      <c r="O13" s="13">
        <f>'TR TUSD'!$O$13*'TR TUSD'!$O$60</f>
        <v>0</v>
      </c>
      <c r="P13" s="13">
        <f>'TR TUSD'!$P$13*'TR TUSD'!$P$60</f>
        <v>0</v>
      </c>
      <c r="Q13" s="13">
        <f>'TR TUSD'!$Q$13*'TR TUSD'!$Q$60</f>
        <v>0</v>
      </c>
      <c r="R13" s="13">
        <f>'TR TUSD'!$R$13*'TR TUSD'!$R$60</f>
        <v>0</v>
      </c>
      <c r="S13" s="13">
        <f>'TR TUSD'!$S$13*'TR TUSD'!$S$60</f>
        <v>0</v>
      </c>
      <c r="T13" s="13">
        <f ca="1">SUM($L$13:$S$13)</f>
        <v>0.97109617137201765</v>
      </c>
      <c r="U13" s="13">
        <f>'TR TUSD'!$U$13*'TR TUSD'!$U$60</f>
        <v>0</v>
      </c>
      <c r="V13" s="13">
        <f>'TR TUSD'!$V$13*'TR TUSD'!$V$60</f>
        <v>0</v>
      </c>
      <c r="W13" s="13">
        <f>'TR TUSD'!$W$13*'TR TUSD'!$W$60</f>
        <v>0</v>
      </c>
      <c r="X13" s="13">
        <f>'TR TUSD'!$X$13*'TR TUSD'!$X$60</f>
        <v>0</v>
      </c>
      <c r="Y13" s="13">
        <f>'TR TUSD'!$Y$13*'TR TUSD'!$Y$60</f>
        <v>761.14840491709367</v>
      </c>
      <c r="Z13" s="13">
        <f>'TR TUSD'!$Z$13</f>
        <v>0</v>
      </c>
      <c r="AA13" s="13">
        <f>'TR TUSD'!$AA$13</f>
        <v>0</v>
      </c>
      <c r="AB13" s="13">
        <f>SUM($U$13:$AA$13)</f>
        <v>761.14840491709367</v>
      </c>
      <c r="AC13" s="13">
        <f>'TR TUSD'!$AC$13*'TR TUSD'!$AC$60</f>
        <v>2537.2492034380925</v>
      </c>
      <c r="AD13" s="13">
        <f>SUM($AC$13:$AC$13)</f>
        <v>2537.2492034380925</v>
      </c>
      <c r="AE13" s="13">
        <v>0</v>
      </c>
      <c r="AF13" s="13">
        <v>0</v>
      </c>
      <c r="AG13" s="13">
        <f>SUM($AE$13:$AF$13)</f>
        <v>0</v>
      </c>
      <c r="AH13" s="13">
        <f>'TR TUSD'!$AH$13*'TR TUSD'!$AH$60</f>
        <v>10.846783327494657</v>
      </c>
      <c r="AI13" s="13">
        <f>'TR TUSD'!$AI$13*'TR TUSD'!$AI$60</f>
        <v>0</v>
      </c>
      <c r="AJ13" s="13">
        <f ca="1">'TR TUSD'!$AJ$13*'TR TUSD'!$AJ$60</f>
        <v>0</v>
      </c>
      <c r="AK13" s="13">
        <f ca="1">'TR TUSD'!$AK$13*'TR TUSD'!$AK$60</f>
        <v>0</v>
      </c>
      <c r="AL13" s="13">
        <f ca="1">SUM($AH$13:$AK$13)</f>
        <v>10.846783327494657</v>
      </c>
      <c r="AM13" s="13">
        <f ca="1">SUMIF($L$4:$AL$4,"SUBTOTAL",$L$13:$AL$13)</f>
        <v>3310.2154878540528</v>
      </c>
      <c r="AP13" s="13">
        <v>1</v>
      </c>
    </row>
    <row r="14" spans="1:42" ht="11.25" customHeight="1" x14ac:dyDescent="0.3">
      <c r="A14" s="92"/>
      <c r="B14" s="92"/>
      <c r="C14" s="92"/>
      <c r="D14" s="92"/>
      <c r="E14" s="92"/>
      <c r="F14" s="92"/>
      <c r="G14" s="18" t="s">
        <v>71</v>
      </c>
      <c r="H14" s="18" t="s">
        <v>69</v>
      </c>
      <c r="I14" s="18">
        <f>'MERCADO TUSD'!$U$11</f>
        <v>0</v>
      </c>
      <c r="J14" s="15"/>
      <c r="L14" s="13">
        <f>'TR TUSD'!$L$14*'TR TUSD'!$L$60</f>
        <v>0</v>
      </c>
      <c r="M14" s="13">
        <f>'TR TUSD'!$M$14*'TR TUSD'!$M$60</f>
        <v>0.97109617137201765</v>
      </c>
      <c r="N14" s="13">
        <f ca="1">'TR TUSD'!$N$14*'TR TUSD'!$N$60</f>
        <v>0</v>
      </c>
      <c r="O14" s="13">
        <f>'TR TUSD'!$O$14*'TR TUSD'!$O$60</f>
        <v>0</v>
      </c>
      <c r="P14" s="13">
        <f>'TR TUSD'!$P$14*'TR TUSD'!$P$60</f>
        <v>0</v>
      </c>
      <c r="Q14" s="13">
        <f>'TR TUSD'!$Q$14*'TR TUSD'!$Q$60</f>
        <v>0</v>
      </c>
      <c r="R14" s="13">
        <f>'TR TUSD'!$R$14*'TR TUSD'!$R$60</f>
        <v>0</v>
      </c>
      <c r="S14" s="13">
        <f>'TR TUSD'!$S$14*'TR TUSD'!$S$60</f>
        <v>0</v>
      </c>
      <c r="T14" s="13">
        <f ca="1">SUM($L$14:$S$14)</f>
        <v>0.97109617137201765</v>
      </c>
      <c r="U14" s="13">
        <f>'TR TUSD'!$U$14*'TR TUSD'!$U$60</f>
        <v>0</v>
      </c>
      <c r="V14" s="13">
        <f>'TR TUSD'!$V$14*'TR TUSD'!$V$60</f>
        <v>0</v>
      </c>
      <c r="W14" s="13">
        <f>'TR TUSD'!$W$14*'TR TUSD'!$W$60</f>
        <v>0</v>
      </c>
      <c r="X14" s="13">
        <f>'TR TUSD'!$X$14*'TR TUSD'!$X$60</f>
        <v>0</v>
      </c>
      <c r="Y14" s="13">
        <f>'TR TUSD'!$Y$14*'TR TUSD'!$Y$60</f>
        <v>0</v>
      </c>
      <c r="Z14" s="13">
        <f>'TR TUSD'!$Z$14</f>
        <v>0</v>
      </c>
      <c r="AA14" s="13">
        <f>'TR TUSD'!$AA$14</f>
        <v>0</v>
      </c>
      <c r="AB14" s="13">
        <f>SUM($U$14:$AA$14)</f>
        <v>0</v>
      </c>
      <c r="AC14" s="13">
        <f>'TR TUSD'!$AC$14*'TR TUSD'!$AC$60</f>
        <v>0</v>
      </c>
      <c r="AD14" s="13">
        <f>SUM($AC$14:$AC$14)</f>
        <v>0</v>
      </c>
      <c r="AE14" s="13">
        <v>0</v>
      </c>
      <c r="AF14" s="13">
        <v>0</v>
      </c>
      <c r="AG14" s="13">
        <f>SUM($AE$14:$AF$14)</f>
        <v>0</v>
      </c>
      <c r="AH14" s="13">
        <f>'TR TUSD'!$AH$14*'TR TUSD'!$AH$60</f>
        <v>10.846783327494657</v>
      </c>
      <c r="AI14" s="13">
        <f>'TR TUSD'!$AI$14*'TR TUSD'!$AI$60</f>
        <v>0</v>
      </c>
      <c r="AJ14" s="13">
        <f ca="1">'TR TUSD'!$AJ$14*'TR TUSD'!$AJ$60</f>
        <v>0</v>
      </c>
      <c r="AK14" s="13">
        <f ca="1">'TR TUSD'!$AK$14*'TR TUSD'!$AK$60</f>
        <v>0</v>
      </c>
      <c r="AL14" s="13">
        <f ca="1">SUM($AH$14:$AK$14)</f>
        <v>10.846783327494657</v>
      </c>
      <c r="AM14" s="13">
        <f ca="1">SUMIF($L$4:$AL$4,"SUBTOTAL",$L$14:$AL$14)</f>
        <v>11.817879498866676</v>
      </c>
      <c r="AP14" s="13">
        <v>1</v>
      </c>
    </row>
    <row r="15" spans="1:42" ht="11.25" customHeight="1" x14ac:dyDescent="0.3">
      <c r="A15" s="92" t="s">
        <v>78</v>
      </c>
      <c r="B15" s="92" t="s">
        <v>77</v>
      </c>
      <c r="C15" s="92" t="s">
        <v>25</v>
      </c>
      <c r="D15" s="92" t="s">
        <v>25</v>
      </c>
      <c r="E15" s="17" t="s">
        <v>79</v>
      </c>
      <c r="F15" s="17" t="s">
        <v>25</v>
      </c>
      <c r="G15" s="18" t="s">
        <v>9</v>
      </c>
      <c r="H15" s="18" t="s">
        <v>72</v>
      </c>
      <c r="I15" s="18">
        <f>'MERCADO TUSD'!$U$12+0.00000001</f>
        <v>1E-8</v>
      </c>
      <c r="J15" s="15"/>
      <c r="L15" s="13">
        <f>'TR TUSD'!$L$15*'TR TUSD'!$L$60</f>
        <v>0</v>
      </c>
      <c r="M15" s="13">
        <f>'TR TUSD'!$M$15*'TR TUSD'!$M$60</f>
        <v>6.9109053578369937E-3</v>
      </c>
      <c r="N15" s="13">
        <f ca="1">'TR TUSD'!$N$15*'TR TUSD'!$N$60</f>
        <v>0</v>
      </c>
      <c r="O15" s="13">
        <f>'TR TUSD'!$O$15*'TR TUSD'!$O$60</f>
        <v>0</v>
      </c>
      <c r="P15" s="13">
        <f>'TR TUSD'!$P$15*'TR TUSD'!$P$60</f>
        <v>0</v>
      </c>
      <c r="Q15" s="13">
        <f>'TR TUSD'!$Q$15*'TR TUSD'!$Q$60</f>
        <v>0</v>
      </c>
      <c r="R15" s="13">
        <f>'TR TUSD'!$R$15*'TR TUSD'!$R$60</f>
        <v>0</v>
      </c>
      <c r="S15" s="13">
        <f>'TR TUSD'!$S$15*'TR TUSD'!$S$60</f>
        <v>0</v>
      </c>
      <c r="T15" s="13">
        <f ca="1">SUM($L$15:$S$15)</f>
        <v>6.9109053578369937E-3</v>
      </c>
      <c r="U15" s="13">
        <f>'TR TUSD'!$U$15*'TR TUSD'!$U$60</f>
        <v>0</v>
      </c>
      <c r="V15" s="13">
        <f>'TR TUSD'!$V$15*'TR TUSD'!$V$60</f>
        <v>0</v>
      </c>
      <c r="W15" s="13">
        <f>'TR TUSD'!$W$15*'TR TUSD'!$W$60</f>
        <v>0</v>
      </c>
      <c r="X15" s="13">
        <f>'TR TUSD'!$X$15*'TR TUSD'!$X$60</f>
        <v>0</v>
      </c>
      <c r="Y15" s="13">
        <f>'TR TUSD'!$Y$15*'TR TUSD'!$Y$60</f>
        <v>0</v>
      </c>
      <c r="Z15" s="13">
        <f>'TR TUSD'!$Z$15*'TR TUSD'!$Z$60</f>
        <v>0</v>
      </c>
      <c r="AA15" s="13">
        <f>'TR TUSD'!$AA$15*'TR TUSD'!$AA$60</f>
        <v>0</v>
      </c>
      <c r="AB15" s="13">
        <f>SUM($U$15:$AA$15)</f>
        <v>0</v>
      </c>
      <c r="AC15" s="13">
        <f>'TR TUSD'!$AC$15*'TR TUSD'!$AC$60</f>
        <v>9.2572487348640191</v>
      </c>
      <c r="AD15" s="13">
        <f>SUM($AC$15:$AC$15)</f>
        <v>9.2572487348640191</v>
      </c>
      <c r="AE15" s="13">
        <v>0</v>
      </c>
      <c r="AF15" s="13">
        <v>0</v>
      </c>
      <c r="AG15" s="13">
        <f>SUM($AE$15:$AF$15)</f>
        <v>0</v>
      </c>
      <c r="AH15" s="13">
        <f>'TR TUSD'!$AH$15*'TR TUSD'!$AH$60</f>
        <v>0</v>
      </c>
      <c r="AI15" s="13">
        <f>'TR TUSD'!$AI$15*'TR TUSD'!$AI$60</f>
        <v>0</v>
      </c>
      <c r="AJ15" s="13">
        <f ca="1">'TR TUSD'!$AJ$15*'TR TUSD'!$AJ$60</f>
        <v>0</v>
      </c>
      <c r="AK15" s="13">
        <f ca="1">'TR TUSD'!$AK$15*'TR TUSD'!$AK$60</f>
        <v>0</v>
      </c>
      <c r="AL15" s="13">
        <f ca="1">SUM($AH$15:$AK$15)</f>
        <v>0</v>
      </c>
      <c r="AM15" s="13">
        <f ca="1">SUMIF($L$4:$AL$4,"SUBTOTAL",$L$15:$AL$15)</f>
        <v>9.2641596402218553</v>
      </c>
      <c r="AP15" s="13"/>
    </row>
    <row r="16" spans="1:42" ht="11.25" customHeight="1" x14ac:dyDescent="0.3">
      <c r="A16" s="92"/>
      <c r="B16" s="92"/>
      <c r="C16" s="92"/>
      <c r="D16" s="92"/>
      <c r="E16" s="17" t="s">
        <v>80</v>
      </c>
      <c r="F16" s="17" t="s">
        <v>25</v>
      </c>
      <c r="G16" s="18" t="s">
        <v>9</v>
      </c>
      <c r="H16" s="18" t="s">
        <v>72</v>
      </c>
      <c r="I16" s="18">
        <f>'MERCADO TUSD'!$U$13+0.00000001</f>
        <v>1E-8</v>
      </c>
      <c r="J16" s="15"/>
      <c r="L16" s="13">
        <f>'TR TUSD'!$L$16*'TR TUSD'!$L$60</f>
        <v>0</v>
      </c>
      <c r="M16" s="13">
        <f>'TR TUSD'!$M$16*'TR TUSD'!$M$60</f>
        <v>6.9109053578369937E-3</v>
      </c>
      <c r="N16" s="13">
        <f ca="1">'TR TUSD'!$N$16*'TR TUSD'!$N$60</f>
        <v>0</v>
      </c>
      <c r="O16" s="13">
        <f>'TR TUSD'!$O$16*'TR TUSD'!$O$60</f>
        <v>0</v>
      </c>
      <c r="P16" s="13">
        <f>'TR TUSD'!$P$16*'TR TUSD'!$P$60</f>
        <v>0</v>
      </c>
      <c r="Q16" s="13">
        <f>'TR TUSD'!$Q$16*'TR TUSD'!$Q$60</f>
        <v>0</v>
      </c>
      <c r="R16" s="13">
        <f>'TR TUSD'!$R$16*'TR TUSD'!$R$60</f>
        <v>0</v>
      </c>
      <c r="S16" s="13">
        <f>'TR TUSD'!$S$16*'TR TUSD'!$S$60</f>
        <v>0</v>
      </c>
      <c r="T16" s="13">
        <f ca="1">SUM($L$16:$S$16)</f>
        <v>6.9109053578369937E-3</v>
      </c>
      <c r="U16" s="13">
        <f>'TR TUSD'!$U$16*'TR TUSD'!$U$60</f>
        <v>0</v>
      </c>
      <c r="V16" s="13">
        <f>'TR TUSD'!$V$16*'TR TUSD'!$V$60</f>
        <v>0</v>
      </c>
      <c r="W16" s="13">
        <f>'TR TUSD'!$W$16*'TR TUSD'!$W$60</f>
        <v>0</v>
      </c>
      <c r="X16" s="13">
        <f>'TR TUSD'!$X$16*'TR TUSD'!$X$60</f>
        <v>0</v>
      </c>
      <c r="Y16" s="13">
        <f>'TR TUSD'!$Y$16*'TR TUSD'!$Y$60</f>
        <v>0</v>
      </c>
      <c r="Z16" s="13">
        <f>'TR TUSD'!$Z$16*'TR TUSD'!$Z$60</f>
        <v>0</v>
      </c>
      <c r="AA16" s="13">
        <f>'TR TUSD'!$AA$16*'TR TUSD'!$AA$60</f>
        <v>0</v>
      </c>
      <c r="AB16" s="13">
        <f>SUM($U$16:$AA$16)</f>
        <v>0</v>
      </c>
      <c r="AC16" s="13">
        <f>'TR TUSD'!$AC$16*'TR TUSD'!$AC$60</f>
        <v>27.554269806566392</v>
      </c>
      <c r="AD16" s="13">
        <f>SUM($AC$16:$AC$16)</f>
        <v>27.554269806566392</v>
      </c>
      <c r="AE16" s="13">
        <v>0</v>
      </c>
      <c r="AF16" s="13">
        <v>0</v>
      </c>
      <c r="AG16" s="13">
        <f>SUM($AE$16:$AF$16)</f>
        <v>0</v>
      </c>
      <c r="AH16" s="13">
        <f>'TR TUSD'!$AH$16*'TR TUSD'!$AH$60</f>
        <v>0</v>
      </c>
      <c r="AI16" s="13">
        <f>'TR TUSD'!$AI$16*'TR TUSD'!$AI$60</f>
        <v>0</v>
      </c>
      <c r="AJ16" s="13">
        <f ca="1">'TR TUSD'!$AJ$16*'TR TUSD'!$AJ$60</f>
        <v>0</v>
      </c>
      <c r="AK16" s="13">
        <f ca="1">'TR TUSD'!$AK$16*'TR TUSD'!$AK$60</f>
        <v>0</v>
      </c>
      <c r="AL16" s="13">
        <f ca="1">SUM($AH$16:$AK$16)</f>
        <v>0</v>
      </c>
      <c r="AM16" s="13">
        <f ca="1">SUMIF($L$4:$AL$4,"SUBTOTAL",$L$16:$AL$16)</f>
        <v>27.56118071192423</v>
      </c>
      <c r="AP16" s="13"/>
    </row>
    <row r="17" spans="1:42" ht="11.25" customHeight="1" x14ac:dyDescent="0.3">
      <c r="A17" s="92" t="s">
        <v>22</v>
      </c>
      <c r="B17" s="92" t="s">
        <v>39</v>
      </c>
      <c r="C17" s="92" t="s">
        <v>24</v>
      </c>
      <c r="D17" s="92" t="s">
        <v>24</v>
      </c>
      <c r="E17" s="92" t="s">
        <v>25</v>
      </c>
      <c r="F17" s="92" t="s">
        <v>25</v>
      </c>
      <c r="G17" s="18" t="s">
        <v>70</v>
      </c>
      <c r="H17" s="18" t="s">
        <v>69</v>
      </c>
      <c r="I17" s="18">
        <f>'MERCADO TUSD'!$U$14</f>
        <v>0</v>
      </c>
      <c r="J17" s="15"/>
      <c r="L17" s="13">
        <f>'TR TUSD'!$L$17*'TR TUSD'!$L$60</f>
        <v>0</v>
      </c>
      <c r="M17" s="13">
        <f>'TR TUSD'!$M$17*'TR TUSD'!$M$60</f>
        <v>2.1629228538445284</v>
      </c>
      <c r="N17" s="13">
        <f ca="1">'TR TUSD'!$N$17*'TR TUSD'!$N$60</f>
        <v>0</v>
      </c>
      <c r="O17" s="13">
        <f>'TR TUSD'!$O$17*'TR TUSD'!$O$60</f>
        <v>0</v>
      </c>
      <c r="P17" s="13">
        <f>'TR TUSD'!$P$17*'TR TUSD'!$P$60</f>
        <v>0</v>
      </c>
      <c r="Q17" s="13">
        <f>'TR TUSD'!$Q$17*'TR TUSD'!$Q$60</f>
        <v>90.390041028898551</v>
      </c>
      <c r="R17" s="13">
        <f>'TR TUSD'!$R$17*'TR TUSD'!$R$60</f>
        <v>14.275958322555534</v>
      </c>
      <c r="S17" s="13">
        <f>'TR TUSD'!$S$17*'TR TUSD'!$S$60</f>
        <v>0</v>
      </c>
      <c r="T17" s="13">
        <f ca="1">SUM($L$17:$S$17)</f>
        <v>106.82892220529862</v>
      </c>
      <c r="U17" s="13">
        <f>'TR TUSD'!$U$17*'TR TUSD'!$U$60</f>
        <v>0</v>
      </c>
      <c r="V17" s="13">
        <f>'TR TUSD'!$V$17*'TR TUSD'!$V$60</f>
        <v>0</v>
      </c>
      <c r="W17" s="13">
        <f>'TR TUSD'!$W$17*'TR TUSD'!$W$60</f>
        <v>0</v>
      </c>
      <c r="X17" s="13">
        <f>'TR TUSD'!$X$17*'TR TUSD'!$X$60</f>
        <v>0</v>
      </c>
      <c r="Y17" s="13">
        <f>'TR TUSD'!$Y$17*'TR TUSD'!$Y$60</f>
        <v>295.52152689342887</v>
      </c>
      <c r="Z17" s="13">
        <f>'TR TUSD'!$Z$17</f>
        <v>0</v>
      </c>
      <c r="AA17" s="13">
        <f>'TR TUSD'!$AA$17</f>
        <v>0</v>
      </c>
      <c r="AB17" s="13">
        <f>SUM($U$17:$AA$17)</f>
        <v>295.52152689342887</v>
      </c>
      <c r="AC17" s="13">
        <f>'TR TUSD'!$AC$17*'TR TUSD'!$AC$60</f>
        <v>1399.5828436414329</v>
      </c>
      <c r="AD17" s="13">
        <f>SUM($AC$17:$AC$17)</f>
        <v>1399.5828436414329</v>
      </c>
      <c r="AE17" s="13">
        <v>0</v>
      </c>
      <c r="AF17" s="13">
        <v>0</v>
      </c>
      <c r="AG17" s="13">
        <f>SUM($AE$17:$AF$17)</f>
        <v>0</v>
      </c>
      <c r="AH17" s="13">
        <f>'TR TUSD'!$AH$17*'TR TUSD'!$AH$60</f>
        <v>21.650685326441078</v>
      </c>
      <c r="AI17" s="13">
        <f>'TR TUSD'!$AI$17*'TR TUSD'!$AI$60</f>
        <v>0</v>
      </c>
      <c r="AJ17" s="13">
        <f ca="1">'TR TUSD'!$AJ$17*'TR TUSD'!$AJ$60</f>
        <v>0</v>
      </c>
      <c r="AK17" s="13">
        <f ca="1">'TR TUSD'!$AK$17*'TR TUSD'!$AK$60</f>
        <v>0</v>
      </c>
      <c r="AL17" s="13">
        <f ca="1">SUM($AH$17:$AK$17)</f>
        <v>21.650685326441078</v>
      </c>
      <c r="AM17" s="13">
        <f ca="1">SUMIF($L$4:$AL$4,"SUBTOTAL",$L$17:$AL$17)</f>
        <v>1823.5839780666015</v>
      </c>
      <c r="AP17" s="13">
        <v>1</v>
      </c>
    </row>
    <row r="18" spans="1:42" ht="11.25" customHeight="1" x14ac:dyDescent="0.3">
      <c r="A18" s="92"/>
      <c r="B18" s="92"/>
      <c r="C18" s="92"/>
      <c r="D18" s="92"/>
      <c r="E18" s="92"/>
      <c r="F18" s="92"/>
      <c r="G18" s="18" t="s">
        <v>81</v>
      </c>
      <c r="H18" s="18" t="s">
        <v>69</v>
      </c>
      <c r="I18" s="18">
        <f>'MERCADO TUSD'!$U$15</f>
        <v>0</v>
      </c>
      <c r="J18" s="15"/>
      <c r="L18" s="13">
        <f>'TR TUSD'!$L$18*'TR TUSD'!$L$60</f>
        <v>0</v>
      </c>
      <c r="M18" s="13">
        <f>'TR TUSD'!$M$18*'TR TUSD'!$M$60</f>
        <v>2.1629228538445284</v>
      </c>
      <c r="N18" s="13">
        <f ca="1">'TR TUSD'!$N$18*'TR TUSD'!$N$60</f>
        <v>0</v>
      </c>
      <c r="O18" s="13">
        <f>'TR TUSD'!$O$18*'TR TUSD'!$O$60</f>
        <v>0</v>
      </c>
      <c r="P18" s="13">
        <f>'TR TUSD'!$P$18*'TR TUSD'!$P$60</f>
        <v>0</v>
      </c>
      <c r="Q18" s="13">
        <f>'TR TUSD'!$Q$18*'TR TUSD'!$Q$60</f>
        <v>90.390041028898551</v>
      </c>
      <c r="R18" s="13">
        <f>'TR TUSD'!$R$18*'TR TUSD'!$R$60</f>
        <v>14.275958322555534</v>
      </c>
      <c r="S18" s="13">
        <f>'TR TUSD'!$S$18*'TR TUSD'!$S$60</f>
        <v>0</v>
      </c>
      <c r="T18" s="13">
        <f ca="1">SUM($L$18:$S$18)</f>
        <v>106.82892220529862</v>
      </c>
      <c r="U18" s="13">
        <f>'TR TUSD'!$U$18*'TR TUSD'!$U$60</f>
        <v>0</v>
      </c>
      <c r="V18" s="13">
        <f>'TR TUSD'!$V$18*'TR TUSD'!$V$60</f>
        <v>0</v>
      </c>
      <c r="W18" s="13">
        <f>'TR TUSD'!$W$18*'TR TUSD'!$W$60</f>
        <v>0</v>
      </c>
      <c r="X18" s="13">
        <f>'TR TUSD'!$X$18*'TR TUSD'!$X$60</f>
        <v>0</v>
      </c>
      <c r="Y18" s="13">
        <f>'TR TUSD'!$Y$18*'TR TUSD'!$Y$60</f>
        <v>177.3253976671763</v>
      </c>
      <c r="Z18" s="13">
        <f>'TR TUSD'!$Z$18</f>
        <v>0</v>
      </c>
      <c r="AA18" s="13">
        <f>'TR TUSD'!$AA$18</f>
        <v>0</v>
      </c>
      <c r="AB18" s="13">
        <f>SUM($U$18:$AA$18)</f>
        <v>177.3253976671763</v>
      </c>
      <c r="AC18" s="13">
        <f>'TR TUSD'!$AC$18*'TR TUSD'!$AC$60</f>
        <v>839.75005219316722</v>
      </c>
      <c r="AD18" s="13">
        <f>SUM($AC$18:$AC$18)</f>
        <v>839.75005219316722</v>
      </c>
      <c r="AE18" s="13">
        <v>0</v>
      </c>
      <c r="AF18" s="13">
        <v>0</v>
      </c>
      <c r="AG18" s="13">
        <f>SUM($AE$18:$AF$18)</f>
        <v>0</v>
      </c>
      <c r="AH18" s="13">
        <f>'TR TUSD'!$AH$18*'TR TUSD'!$AH$60</f>
        <v>21.650685326441078</v>
      </c>
      <c r="AI18" s="13">
        <f>'TR TUSD'!$AI$18*'TR TUSD'!$AI$60</f>
        <v>0</v>
      </c>
      <c r="AJ18" s="13">
        <f ca="1">'TR TUSD'!$AJ$18*'TR TUSD'!$AJ$60</f>
        <v>0</v>
      </c>
      <c r="AK18" s="13">
        <f ca="1">'TR TUSD'!$AK$18*'TR TUSD'!$AK$60</f>
        <v>0</v>
      </c>
      <c r="AL18" s="13">
        <f ca="1">SUM($AH$18:$AK$18)</f>
        <v>21.650685326441078</v>
      </c>
      <c r="AM18" s="13">
        <f ca="1">SUMIF($L$4:$AL$4,"SUBTOTAL",$L$18:$AL$18)</f>
        <v>1145.5550573920834</v>
      </c>
      <c r="AP18" s="13">
        <v>1</v>
      </c>
    </row>
    <row r="19" spans="1:42" ht="11.25" customHeight="1" x14ac:dyDescent="0.3">
      <c r="A19" s="92"/>
      <c r="B19" s="92"/>
      <c r="C19" s="92"/>
      <c r="D19" s="92"/>
      <c r="E19" s="92"/>
      <c r="F19" s="92"/>
      <c r="G19" s="18" t="s">
        <v>71</v>
      </c>
      <c r="H19" s="18" t="s">
        <v>69</v>
      </c>
      <c r="I19" s="18">
        <f>'MERCADO TUSD'!$U$16</f>
        <v>0</v>
      </c>
      <c r="J19" s="15"/>
      <c r="L19" s="13">
        <f>'TR TUSD'!$L$19*'TR TUSD'!$L$60</f>
        <v>0</v>
      </c>
      <c r="M19" s="13">
        <f>'TR TUSD'!$M$19*'TR TUSD'!$M$60</f>
        <v>2.1629228538445284</v>
      </c>
      <c r="N19" s="13">
        <f ca="1">'TR TUSD'!$N$19*'TR TUSD'!$N$60</f>
        <v>0</v>
      </c>
      <c r="O19" s="13">
        <f>'TR TUSD'!$O$19*'TR TUSD'!$O$60</f>
        <v>0</v>
      </c>
      <c r="P19" s="13">
        <f>'TR TUSD'!$P$19*'TR TUSD'!$P$60</f>
        <v>0</v>
      </c>
      <c r="Q19" s="13">
        <f>'TR TUSD'!$Q$19*'TR TUSD'!$Q$60</f>
        <v>90.390041028898551</v>
      </c>
      <c r="R19" s="13">
        <f>'TR TUSD'!$R$19*'TR TUSD'!$R$60</f>
        <v>14.275958322555534</v>
      </c>
      <c r="S19" s="13">
        <f>'TR TUSD'!$S$19*'TR TUSD'!$S$60</f>
        <v>0</v>
      </c>
      <c r="T19" s="13">
        <f ca="1">SUM($L$19:$S$19)</f>
        <v>106.82892220529862</v>
      </c>
      <c r="U19" s="13">
        <f>'TR TUSD'!$U$19*'TR TUSD'!$U$60</f>
        <v>0</v>
      </c>
      <c r="V19" s="13">
        <f>'TR TUSD'!$V$19*'TR TUSD'!$V$60</f>
        <v>0</v>
      </c>
      <c r="W19" s="13">
        <f>'TR TUSD'!$W$19*'TR TUSD'!$W$60</f>
        <v>0</v>
      </c>
      <c r="X19" s="13">
        <f>'TR TUSD'!$X$19*'TR TUSD'!$X$60</f>
        <v>0</v>
      </c>
      <c r="Y19" s="13">
        <f>'TR TUSD'!$Y$19*'TR TUSD'!$Y$60</f>
        <v>59.129166633981541</v>
      </c>
      <c r="Z19" s="13">
        <f>'TR TUSD'!$Z$19</f>
        <v>0</v>
      </c>
      <c r="AA19" s="13">
        <f>'TR TUSD'!$AA$19</f>
        <v>0</v>
      </c>
      <c r="AB19" s="13">
        <f>SUM($U$19:$AA$19)</f>
        <v>59.129166633981541</v>
      </c>
      <c r="AC19" s="13">
        <f>'TR TUSD'!$AC$19*'TR TUSD'!$AC$60</f>
        <v>279.91665014200595</v>
      </c>
      <c r="AD19" s="13">
        <f>SUM($AC$19:$AC$19)</f>
        <v>279.91665014200595</v>
      </c>
      <c r="AE19" s="13">
        <v>0</v>
      </c>
      <c r="AF19" s="13">
        <v>0</v>
      </c>
      <c r="AG19" s="13">
        <f>SUM($AE$19:$AF$19)</f>
        <v>0</v>
      </c>
      <c r="AH19" s="13">
        <f>'TR TUSD'!$AH$19*'TR TUSD'!$AH$60</f>
        <v>21.650685326441078</v>
      </c>
      <c r="AI19" s="13">
        <f>'TR TUSD'!$AI$19*'TR TUSD'!$AI$60</f>
        <v>0</v>
      </c>
      <c r="AJ19" s="13">
        <f ca="1">'TR TUSD'!$AJ$19*'TR TUSD'!$AJ$60</f>
        <v>0</v>
      </c>
      <c r="AK19" s="13">
        <f ca="1">'TR TUSD'!$AK$19*'TR TUSD'!$AK$60</f>
        <v>0</v>
      </c>
      <c r="AL19" s="13">
        <f ca="1">SUM($AH$19:$AK$19)</f>
        <v>21.650685326441078</v>
      </c>
      <c r="AM19" s="13">
        <f ca="1">SUMIF($L$4:$AL$4,"SUBTOTAL",$L$19:$AL$19)</f>
        <v>467.52542430772718</v>
      </c>
      <c r="AP19" s="13">
        <v>1</v>
      </c>
    </row>
    <row r="20" spans="1:42" ht="11.25" customHeight="1" x14ac:dyDescent="0.3">
      <c r="A20" s="92"/>
      <c r="B20" s="92" t="s">
        <v>23</v>
      </c>
      <c r="C20" s="92" t="s">
        <v>24</v>
      </c>
      <c r="D20" s="17" t="s">
        <v>24</v>
      </c>
      <c r="E20" s="17" t="s">
        <v>25</v>
      </c>
      <c r="F20" s="17" t="s">
        <v>25</v>
      </c>
      <c r="G20" s="18" t="s">
        <v>75</v>
      </c>
      <c r="H20" s="18" t="s">
        <v>69</v>
      </c>
      <c r="I20" s="18">
        <f>'MERCADO TUSD'!$U$17</f>
        <v>6626.2160000000003</v>
      </c>
      <c r="J20" s="15"/>
      <c r="L20" s="13">
        <f>'TR TUSD'!$L$20*'TR TUSD'!$L$60</f>
        <v>0</v>
      </c>
      <c r="M20" s="13">
        <f>'TR TUSD'!$M$20*'TR TUSD'!$M$60</f>
        <v>2.1629228538445284</v>
      </c>
      <c r="N20" s="13">
        <f ca="1">'TR TUSD'!$N$20*'TR TUSD'!$N$60</f>
        <v>0</v>
      </c>
      <c r="O20" s="13">
        <f>'TR TUSD'!$O$20*'TR TUSD'!$O$60</f>
        <v>0</v>
      </c>
      <c r="P20" s="13">
        <f>'TR TUSD'!$P$20*'TR TUSD'!$P$60</f>
        <v>0</v>
      </c>
      <c r="Q20" s="13">
        <f>'TR TUSD'!$Q$20*'TR TUSD'!$Q$60</f>
        <v>90.390041028898551</v>
      </c>
      <c r="R20" s="13">
        <f>'TR TUSD'!$R$20*'TR TUSD'!$R$60</f>
        <v>14.275958322555534</v>
      </c>
      <c r="S20" s="13">
        <f>'TR TUSD'!$S$20*'TR TUSD'!$S$60</f>
        <v>0</v>
      </c>
      <c r="T20" s="13">
        <f ca="1">SUM($L$20:$S$20)</f>
        <v>106.82892220529862</v>
      </c>
      <c r="U20" s="13">
        <f>'TR TUSD'!$U$20*'TR TUSD'!$U$60</f>
        <v>0</v>
      </c>
      <c r="V20" s="13">
        <f>'TR TUSD'!$V$20*'TR TUSD'!$V$60</f>
        <v>0</v>
      </c>
      <c r="W20" s="13">
        <f>'TR TUSD'!$W$20*'TR TUSD'!$W$60</f>
        <v>0</v>
      </c>
      <c r="X20" s="13">
        <f>'TR TUSD'!$X$20*'TR TUSD'!$X$60</f>
        <v>0</v>
      </c>
      <c r="Y20" s="13">
        <f>'TR TUSD'!$Y$20*'TR TUSD'!$Y$60</f>
        <v>109.48237123272102</v>
      </c>
      <c r="Z20" s="13">
        <f>'TR TUSD'!$Z$20</f>
        <v>0</v>
      </c>
      <c r="AA20" s="13">
        <f>'TR TUSD'!$AA$20</f>
        <v>0</v>
      </c>
      <c r="AB20" s="13">
        <f>SUM($U$20:$AA$20)</f>
        <v>109.48237123272102</v>
      </c>
      <c r="AC20" s="13">
        <f>'TR TUSD'!$AC$20*'TR TUSD'!$AC$60</f>
        <v>518.36410285402815</v>
      </c>
      <c r="AD20" s="13">
        <f>SUM($AC$20:$AC$20)</f>
        <v>518.36410285402815</v>
      </c>
      <c r="AE20" s="13">
        <v>0</v>
      </c>
      <c r="AF20" s="13">
        <v>0</v>
      </c>
      <c r="AG20" s="13">
        <f>SUM($AE$20:$AF$20)</f>
        <v>0</v>
      </c>
      <c r="AH20" s="13">
        <f>'TR TUSD'!$AH$20*'TR TUSD'!$AH$60</f>
        <v>21.650685326441078</v>
      </c>
      <c r="AI20" s="13">
        <f>'TR TUSD'!$AI$20*'TR TUSD'!$AI$60</f>
        <v>0</v>
      </c>
      <c r="AJ20" s="13">
        <f ca="1">'TR TUSD'!$AJ$20*'TR TUSD'!$AJ$60</f>
        <v>0</v>
      </c>
      <c r="AK20" s="13">
        <f ca="1">'TR TUSD'!$AK$20*'TR TUSD'!$AK$60</f>
        <v>0</v>
      </c>
      <c r="AL20" s="13">
        <f ca="1">SUM($AH$20:$AK$20)</f>
        <v>21.650685326441078</v>
      </c>
      <c r="AM20" s="13">
        <f ca="1">SUMIF($L$4:$AL$4,"SUBTOTAL",$L$20:$AL$20)</f>
        <v>756.32608161848884</v>
      </c>
      <c r="AP20" s="13">
        <v>1</v>
      </c>
    </row>
    <row r="21" spans="1:42" ht="11.25" customHeight="1" x14ac:dyDescent="0.3">
      <c r="A21" s="92"/>
      <c r="B21" s="92"/>
      <c r="C21" s="92"/>
      <c r="D21" s="17" t="s">
        <v>29</v>
      </c>
      <c r="E21" s="17" t="s">
        <v>25</v>
      </c>
      <c r="F21" s="17" t="s">
        <v>25</v>
      </c>
      <c r="G21" s="18" t="s">
        <v>75</v>
      </c>
      <c r="H21" s="18" t="s">
        <v>69</v>
      </c>
      <c r="I21" s="18">
        <f>'MERCADO TUSD'!$U$18</f>
        <v>56.819999999999993</v>
      </c>
      <c r="J21" s="15"/>
      <c r="L21" s="13">
        <f>'TR TUSD'!$L$21*'TR TUSD'!$L$60</f>
        <v>0</v>
      </c>
      <c r="M21" s="13">
        <f>'TR TUSD'!$M$21*'TR TUSD'!$M$60</f>
        <v>2.1629228538445284</v>
      </c>
      <c r="N21" s="13">
        <f ca="1">'TR TUSD'!$N$21*'TR TUSD'!$N$60</f>
        <v>0</v>
      </c>
      <c r="O21" s="13">
        <f>'TR TUSD'!$O$21*'TR TUSD'!$O$60</f>
        <v>0</v>
      </c>
      <c r="P21" s="13">
        <f>'TR TUSD'!$P$21*'TR TUSD'!$P$60</f>
        <v>0</v>
      </c>
      <c r="Q21" s="13">
        <f>'TR TUSD'!$Q$21*'TR TUSD'!$Q$60</f>
        <v>0</v>
      </c>
      <c r="R21" s="13">
        <f>'TR TUSD'!$R$21*'TR TUSD'!$R$60</f>
        <v>0</v>
      </c>
      <c r="S21" s="13">
        <f>'TR TUSD'!$S$21*'TR TUSD'!$S$60</f>
        <v>0</v>
      </c>
      <c r="T21" s="13">
        <f ca="1">SUM($L$21:$S$21)</f>
        <v>2.1629228538445284</v>
      </c>
      <c r="U21" s="13">
        <f>'TR TUSD'!$U$21*'TR TUSD'!$U$60</f>
        <v>0</v>
      </c>
      <c r="V21" s="13">
        <f>'TR TUSD'!$V$21*'TR TUSD'!$V$60</f>
        <v>0</v>
      </c>
      <c r="W21" s="13">
        <f>'TR TUSD'!$W$21*'TR TUSD'!$W$60</f>
        <v>0</v>
      </c>
      <c r="X21" s="13">
        <f>'TR TUSD'!$X$21*'TR TUSD'!$X$60</f>
        <v>0</v>
      </c>
      <c r="Y21" s="13">
        <f>'TR TUSD'!$Y$21*'TR TUSD'!$Y$60</f>
        <v>109.48237123272102</v>
      </c>
      <c r="Z21" s="13">
        <f>'TR TUSD'!$Z$21</f>
        <v>0</v>
      </c>
      <c r="AA21" s="13">
        <f>'TR TUSD'!$AA$21</f>
        <v>0</v>
      </c>
      <c r="AB21" s="13">
        <f>SUM($U$21:$AA$21)</f>
        <v>109.48237123272102</v>
      </c>
      <c r="AC21" s="13">
        <f>'TR TUSD'!$AC$21*'TR TUSD'!$AC$60</f>
        <v>518.36410285402815</v>
      </c>
      <c r="AD21" s="13">
        <f>SUM($AC$21:$AC$21)</f>
        <v>518.36410285402815</v>
      </c>
      <c r="AE21" s="13">
        <v>0</v>
      </c>
      <c r="AF21" s="13">
        <v>0</v>
      </c>
      <c r="AG21" s="13">
        <f>SUM($AE$21:$AF$21)</f>
        <v>0</v>
      </c>
      <c r="AH21" s="13">
        <f>'TR TUSD'!$AH$21*'TR TUSD'!$AH$60</f>
        <v>21.650685326441078</v>
      </c>
      <c r="AI21" s="13">
        <f>'TR TUSD'!$AI$21*'TR TUSD'!$AI$60</f>
        <v>0</v>
      </c>
      <c r="AJ21" s="13">
        <f ca="1">'TR TUSD'!$AJ$21*'TR TUSD'!$AJ$60</f>
        <v>0</v>
      </c>
      <c r="AK21" s="13">
        <f ca="1">'TR TUSD'!$AK$21*'TR TUSD'!$AK$60</f>
        <v>0</v>
      </c>
      <c r="AL21" s="13">
        <f ca="1">SUM($AH$21:$AK$21)</f>
        <v>21.650685326441078</v>
      </c>
      <c r="AM21" s="13">
        <f ca="1">SUMIF($L$4:$AL$4,"SUBTOTAL",$L$21:$AL$21)</f>
        <v>651.6600822670348</v>
      </c>
      <c r="AP21" s="13">
        <f>IF((1 - CUSTOS!$M$24)&lt;&gt;0,1/(1 - CUSTOS!$M$24),1)</f>
        <v>1</v>
      </c>
    </row>
    <row r="22" spans="1:42" ht="11.25" customHeight="1" x14ac:dyDescent="0.3">
      <c r="A22" s="92"/>
      <c r="B22" s="92"/>
      <c r="C22" s="92"/>
      <c r="D22" s="17" t="s">
        <v>30</v>
      </c>
      <c r="E22" s="17" t="s">
        <v>25</v>
      </c>
      <c r="F22" s="17" t="s">
        <v>25</v>
      </c>
      <c r="G22" s="18" t="s">
        <v>75</v>
      </c>
      <c r="H22" s="18" t="s">
        <v>69</v>
      </c>
      <c r="I22" s="18">
        <f>'MERCADO TUSD'!$U$19</f>
        <v>114.55999999999999</v>
      </c>
      <c r="J22" s="15"/>
      <c r="L22" s="13">
        <f>'TR TUSD'!$L$22*'TR TUSD'!$L$60</f>
        <v>0</v>
      </c>
      <c r="M22" s="13">
        <f>'TR TUSD'!$M$22*'TR TUSD'!$M$60</f>
        <v>2.1629228538445284</v>
      </c>
      <c r="N22" s="13">
        <f ca="1">'TR TUSD'!$N$22*'TR TUSD'!$N$60</f>
        <v>0</v>
      </c>
      <c r="O22" s="13">
        <f>'TR TUSD'!$O$22*'TR TUSD'!$O$60</f>
        <v>0</v>
      </c>
      <c r="P22" s="13">
        <f>'TR TUSD'!$P$22*'TR TUSD'!$P$60</f>
        <v>0</v>
      </c>
      <c r="Q22" s="13">
        <f>'TR TUSD'!$Q$22*'TR TUSD'!$Q$60</f>
        <v>0</v>
      </c>
      <c r="R22" s="13">
        <f>'TR TUSD'!$R$22*'TR TUSD'!$R$60</f>
        <v>0</v>
      </c>
      <c r="S22" s="13">
        <f>'TR TUSD'!$S$22*'TR TUSD'!$S$60</f>
        <v>0</v>
      </c>
      <c r="T22" s="13">
        <f ca="1">SUM($L$22:$S$22)</f>
        <v>2.1629228538445284</v>
      </c>
      <c r="U22" s="13">
        <f>'TR TUSD'!$U$22*'TR TUSD'!$U$60</f>
        <v>0</v>
      </c>
      <c r="V22" s="13">
        <f>'TR TUSD'!$V$22*'TR TUSD'!$V$60</f>
        <v>0</v>
      </c>
      <c r="W22" s="13">
        <f>'TR TUSD'!$W$22*'TR TUSD'!$W$60</f>
        <v>0</v>
      </c>
      <c r="X22" s="13">
        <f>'TR TUSD'!$X$22*'TR TUSD'!$X$60</f>
        <v>0</v>
      </c>
      <c r="Y22" s="13">
        <f>'TR TUSD'!$Y$22*'TR TUSD'!$Y$60</f>
        <v>109.48237123272102</v>
      </c>
      <c r="Z22" s="13">
        <f>'TR TUSD'!$Z$22</f>
        <v>0</v>
      </c>
      <c r="AA22" s="13">
        <f>'TR TUSD'!$AA$22</f>
        <v>0</v>
      </c>
      <c r="AB22" s="13">
        <f>SUM($U$22:$AA$22)</f>
        <v>109.48237123272102</v>
      </c>
      <c r="AC22" s="13">
        <f>'TR TUSD'!$AC$22*'TR TUSD'!$AC$60</f>
        <v>518.36410285402815</v>
      </c>
      <c r="AD22" s="13">
        <f>SUM($AC$22:$AC$22)</f>
        <v>518.36410285402815</v>
      </c>
      <c r="AE22" s="13">
        <v>0</v>
      </c>
      <c r="AF22" s="13">
        <v>0</v>
      </c>
      <c r="AG22" s="13">
        <f>SUM($AE$22:$AF$22)</f>
        <v>0</v>
      </c>
      <c r="AH22" s="13">
        <f>'TR TUSD'!$AH$22*'TR TUSD'!$AH$60</f>
        <v>21.650685326441078</v>
      </c>
      <c r="AI22" s="13">
        <f>'TR TUSD'!$AI$22*'TR TUSD'!$AI$60</f>
        <v>0</v>
      </c>
      <c r="AJ22" s="13">
        <f ca="1">'TR TUSD'!$AJ$22*'TR TUSD'!$AJ$60</f>
        <v>0</v>
      </c>
      <c r="AK22" s="13">
        <f ca="1">'TR TUSD'!$AK$22*'TR TUSD'!$AK$60</f>
        <v>0</v>
      </c>
      <c r="AL22" s="13">
        <f ca="1">SUM($AH$22:$AK$22)</f>
        <v>21.650685326441078</v>
      </c>
      <c r="AM22" s="13">
        <f ca="1">SUMIF($L$4:$AL$4,"SUBTOTAL",$L$22:$AL$22)</f>
        <v>651.6600822670348</v>
      </c>
      <c r="AP22" s="13">
        <f>IF((1 - CUSTOS!$M$25)&lt;&gt;0,1/(1 - CUSTOS!$M$25),1)</f>
        <v>1</v>
      </c>
    </row>
    <row r="23" spans="1:42" ht="11.25" customHeight="1" x14ac:dyDescent="0.3">
      <c r="A23" s="92"/>
      <c r="B23" s="92"/>
      <c r="C23" s="92"/>
      <c r="D23" s="17" t="s">
        <v>31</v>
      </c>
      <c r="E23" s="17" t="s">
        <v>25</v>
      </c>
      <c r="F23" s="17" t="s">
        <v>25</v>
      </c>
      <c r="G23" s="18" t="s">
        <v>75</v>
      </c>
      <c r="H23" s="18" t="s">
        <v>69</v>
      </c>
      <c r="I23" s="18">
        <f>'MERCADO TUSD'!$U$20</f>
        <v>116.22800000000001</v>
      </c>
      <c r="J23" s="15"/>
      <c r="L23" s="13">
        <f>'TR TUSD'!$L$23*'TR TUSD'!$L$60</f>
        <v>0</v>
      </c>
      <c r="M23" s="13">
        <f>'TR TUSD'!$M$23*'TR TUSD'!$M$60</f>
        <v>2.1629228538445284</v>
      </c>
      <c r="N23" s="13">
        <f ca="1">'TR TUSD'!$N$23*'TR TUSD'!$N$60</f>
        <v>0</v>
      </c>
      <c r="O23" s="13">
        <f>'TR TUSD'!$O$23*'TR TUSD'!$O$60</f>
        <v>0</v>
      </c>
      <c r="P23" s="13">
        <f>'TR TUSD'!$P$23*'TR TUSD'!$P$60</f>
        <v>0</v>
      </c>
      <c r="Q23" s="13">
        <f>'TR TUSD'!$Q$23*'TR TUSD'!$Q$60</f>
        <v>0</v>
      </c>
      <c r="R23" s="13">
        <f>'TR TUSD'!$R$23*'TR TUSD'!$R$60</f>
        <v>0</v>
      </c>
      <c r="S23" s="13">
        <f>'TR TUSD'!$S$23*'TR TUSD'!$S$60</f>
        <v>0</v>
      </c>
      <c r="T23" s="13">
        <f ca="1">SUM($L$23:$S$23)</f>
        <v>2.1629228538445284</v>
      </c>
      <c r="U23" s="13">
        <f>'TR TUSD'!$U$23*'TR TUSD'!$U$60</f>
        <v>0</v>
      </c>
      <c r="V23" s="13">
        <f>'TR TUSD'!$V$23*'TR TUSD'!$V$60</f>
        <v>0</v>
      </c>
      <c r="W23" s="13">
        <f>'TR TUSD'!$W$23*'TR TUSD'!$W$60</f>
        <v>0</v>
      </c>
      <c r="X23" s="13">
        <f>'TR TUSD'!$X$23*'TR TUSD'!$X$60</f>
        <v>0</v>
      </c>
      <c r="Y23" s="13">
        <f>'TR TUSD'!$Y$23*'TR TUSD'!$Y$60</f>
        <v>109.48237123272102</v>
      </c>
      <c r="Z23" s="13">
        <f>'TR TUSD'!$Z$23</f>
        <v>0</v>
      </c>
      <c r="AA23" s="13">
        <f>'TR TUSD'!$AA$23</f>
        <v>0</v>
      </c>
      <c r="AB23" s="13">
        <f>SUM($U$23:$AA$23)</f>
        <v>109.48237123272102</v>
      </c>
      <c r="AC23" s="13">
        <f>'TR TUSD'!$AC$23*'TR TUSD'!$AC$60</f>
        <v>518.36410285402815</v>
      </c>
      <c r="AD23" s="13">
        <f>SUM($AC$23:$AC$23)</f>
        <v>518.36410285402815</v>
      </c>
      <c r="AE23" s="13">
        <v>0</v>
      </c>
      <c r="AF23" s="13">
        <v>0</v>
      </c>
      <c r="AG23" s="13">
        <f>SUM($AE$23:$AF$23)</f>
        <v>0</v>
      </c>
      <c r="AH23" s="13">
        <f>'TR TUSD'!$AH$23*'TR TUSD'!$AH$60</f>
        <v>21.650685326441078</v>
      </c>
      <c r="AI23" s="13">
        <f>'TR TUSD'!$AI$23*'TR TUSD'!$AI$60</f>
        <v>0</v>
      </c>
      <c r="AJ23" s="13">
        <f ca="1">'TR TUSD'!$AJ$23*'TR TUSD'!$AJ$60</f>
        <v>0</v>
      </c>
      <c r="AK23" s="13">
        <f ca="1">'TR TUSD'!$AK$23*'TR TUSD'!$AK$60</f>
        <v>0</v>
      </c>
      <c r="AL23" s="13">
        <f ca="1">SUM($AH$23:$AK$23)</f>
        <v>21.650685326441078</v>
      </c>
      <c r="AM23" s="13">
        <f ca="1">SUMIF($L$4:$AL$4,"SUBTOTAL",$L$23:$AL$23)</f>
        <v>651.6600822670348</v>
      </c>
      <c r="AP23" s="13">
        <f>IF((1 - CUSTOS!$M$26)&lt;&gt;0,1/(1 - CUSTOS!$M$26),1)</f>
        <v>1</v>
      </c>
    </row>
    <row r="24" spans="1:42" ht="11.25" customHeight="1" x14ac:dyDescent="0.3">
      <c r="A24" s="92"/>
      <c r="B24" s="92"/>
      <c r="C24" s="92"/>
      <c r="D24" s="17" t="s">
        <v>32</v>
      </c>
      <c r="E24" s="17" t="s">
        <v>25</v>
      </c>
      <c r="F24" s="17" t="s">
        <v>25</v>
      </c>
      <c r="G24" s="18" t="s">
        <v>75</v>
      </c>
      <c r="H24" s="18" t="s">
        <v>69</v>
      </c>
      <c r="I24" s="18">
        <f>'MERCADO TUSD'!$U$21</f>
        <v>45.311999999999998</v>
      </c>
      <c r="J24" s="15"/>
      <c r="L24" s="13">
        <f>'TR TUSD'!$L$24*'TR TUSD'!$L$60</f>
        <v>0</v>
      </c>
      <c r="M24" s="13">
        <f>'TR TUSD'!$M$24*'TR TUSD'!$M$60</f>
        <v>2.1629228538445284</v>
      </c>
      <c r="N24" s="13">
        <f ca="1">'TR TUSD'!$N$24*'TR TUSD'!$N$60</f>
        <v>0</v>
      </c>
      <c r="O24" s="13">
        <f>'TR TUSD'!$O$24*'TR TUSD'!$O$60</f>
        <v>0</v>
      </c>
      <c r="P24" s="13">
        <f>'TR TUSD'!$P$24*'TR TUSD'!$P$60</f>
        <v>0</v>
      </c>
      <c r="Q24" s="13">
        <f>'TR TUSD'!$Q$24*'TR TUSD'!$Q$60</f>
        <v>0</v>
      </c>
      <c r="R24" s="13">
        <f>'TR TUSD'!$R$24*'TR TUSD'!$R$60</f>
        <v>0</v>
      </c>
      <c r="S24" s="13">
        <f>'TR TUSD'!$S$24*'TR TUSD'!$S$60</f>
        <v>0</v>
      </c>
      <c r="T24" s="13">
        <f ca="1">SUM($L$24:$S$24)</f>
        <v>2.1629228538445284</v>
      </c>
      <c r="U24" s="13">
        <f>'TR TUSD'!$U$24*'TR TUSD'!$U$60</f>
        <v>0</v>
      </c>
      <c r="V24" s="13">
        <f>'TR TUSD'!$V$24*'TR TUSD'!$V$60</f>
        <v>0</v>
      </c>
      <c r="W24" s="13">
        <f>'TR TUSD'!$W$24*'TR TUSD'!$W$60</f>
        <v>0</v>
      </c>
      <c r="X24" s="13">
        <f>'TR TUSD'!$X$24*'TR TUSD'!$X$60</f>
        <v>0</v>
      </c>
      <c r="Y24" s="13">
        <f>'TR TUSD'!$Y$24*'TR TUSD'!$Y$60</f>
        <v>109.48237123272102</v>
      </c>
      <c r="Z24" s="13">
        <f>'TR TUSD'!$Z$24</f>
        <v>0</v>
      </c>
      <c r="AA24" s="13">
        <f>'TR TUSD'!$AA$24</f>
        <v>0</v>
      </c>
      <c r="AB24" s="13">
        <f>SUM($U$24:$AA$24)</f>
        <v>109.48237123272102</v>
      </c>
      <c r="AC24" s="13">
        <f>'TR TUSD'!$AC$24*'TR TUSD'!$AC$60</f>
        <v>518.36410285402815</v>
      </c>
      <c r="AD24" s="13">
        <f>SUM($AC$24:$AC$24)</f>
        <v>518.36410285402815</v>
      </c>
      <c r="AE24" s="13">
        <v>0</v>
      </c>
      <c r="AF24" s="13">
        <v>0</v>
      </c>
      <c r="AG24" s="13">
        <f>SUM($AE$24:$AF$24)</f>
        <v>0</v>
      </c>
      <c r="AH24" s="13">
        <f>'TR TUSD'!$AH$24*'TR TUSD'!$AH$60</f>
        <v>21.650685326441078</v>
      </c>
      <c r="AI24" s="13">
        <f>'TR TUSD'!$AI$24*'TR TUSD'!$AI$60</f>
        <v>0</v>
      </c>
      <c r="AJ24" s="13">
        <f ca="1">'TR TUSD'!$AJ$24*'TR TUSD'!$AJ$60</f>
        <v>0</v>
      </c>
      <c r="AK24" s="13">
        <f ca="1">'TR TUSD'!$AK$24*'TR TUSD'!$AK$60</f>
        <v>0</v>
      </c>
      <c r="AL24" s="13">
        <f ca="1">SUM($AH$24:$AK$24)</f>
        <v>21.650685326441078</v>
      </c>
      <c r="AM24" s="13">
        <f ca="1">SUMIF($L$4:$AL$4,"SUBTOTAL",$L$24:$AL$24)</f>
        <v>651.6600822670348</v>
      </c>
      <c r="AP24" s="13">
        <f>IF((1 - CUSTOS!$M$27)&lt;&gt;0,1/(1 - CUSTOS!$M$27),1)</f>
        <v>1</v>
      </c>
    </row>
    <row r="25" spans="1:42" ht="11.25" customHeight="1" x14ac:dyDescent="0.3">
      <c r="A25" s="92"/>
      <c r="B25" s="92" t="s">
        <v>84</v>
      </c>
      <c r="C25" s="92" t="s">
        <v>24</v>
      </c>
      <c r="D25" s="17" t="s">
        <v>24</v>
      </c>
      <c r="E25" s="17" t="s">
        <v>25</v>
      </c>
      <c r="F25" s="17" t="s">
        <v>25</v>
      </c>
      <c r="G25" s="18" t="s">
        <v>75</v>
      </c>
      <c r="H25" s="18" t="s">
        <v>69</v>
      </c>
      <c r="I25" s="18">
        <f>'MERCADO TUSD'!$U$22</f>
        <v>0</v>
      </c>
      <c r="J25" s="15"/>
      <c r="L25" s="13">
        <f>'TR TUSD'!$L$25*'TR TUSD'!$L$60</f>
        <v>0</v>
      </c>
      <c r="M25" s="13">
        <f>'TR TUSD'!$M$25*'TR TUSD'!$M$60</f>
        <v>2.1629228538445284</v>
      </c>
      <c r="N25" s="13">
        <f ca="1">'TR TUSD'!$N$25*'TR TUSD'!$N$60</f>
        <v>0</v>
      </c>
      <c r="O25" s="13">
        <f>'TR TUSD'!$O$25*'TR TUSD'!$O$60</f>
        <v>0</v>
      </c>
      <c r="P25" s="13">
        <f>'TR TUSD'!$P$25*'TR TUSD'!$P$60</f>
        <v>0</v>
      </c>
      <c r="Q25" s="13">
        <f>'TR TUSD'!$Q$25*'TR TUSD'!$Q$60</f>
        <v>90.390041028898551</v>
      </c>
      <c r="R25" s="13">
        <f>'TR TUSD'!$R$25*'TR TUSD'!$R$60</f>
        <v>14.275958322555534</v>
      </c>
      <c r="S25" s="13">
        <f>'TR TUSD'!$S$25*'TR TUSD'!$S$60</f>
        <v>0</v>
      </c>
      <c r="T25" s="13">
        <f ca="1">SUM($L$25:$S$25)</f>
        <v>106.82892220529862</v>
      </c>
      <c r="U25" s="13">
        <f>'TR TUSD'!$U$25*'TR TUSD'!$U$60</f>
        <v>0</v>
      </c>
      <c r="V25" s="13">
        <f>'TR TUSD'!$V$25*'TR TUSD'!$V$60</f>
        <v>0</v>
      </c>
      <c r="W25" s="13">
        <f>'TR TUSD'!$W$25*'TR TUSD'!$W$60</f>
        <v>0</v>
      </c>
      <c r="X25" s="13">
        <f>'TR TUSD'!$X$25*'TR TUSD'!$X$60</f>
        <v>0</v>
      </c>
      <c r="Y25" s="13">
        <f>'TR TUSD'!$Y$25*'TR TUSD'!$Y$60</f>
        <v>109.48237123272102</v>
      </c>
      <c r="Z25" s="13">
        <f>'TR TUSD'!$Z$25</f>
        <v>0</v>
      </c>
      <c r="AA25" s="13">
        <f>'TR TUSD'!$AA$25</f>
        <v>0</v>
      </c>
      <c r="AB25" s="13">
        <f>SUM($U$25:$AA$25)</f>
        <v>109.48237123272102</v>
      </c>
      <c r="AC25" s="13">
        <f>'TR TUSD'!$AC$25*'TR TUSD'!$AC$60</f>
        <v>518.36410285402815</v>
      </c>
      <c r="AD25" s="13">
        <f>SUM($AC$25:$AC$25)</f>
        <v>518.36410285402815</v>
      </c>
      <c r="AE25" s="13">
        <v>0</v>
      </c>
      <c r="AF25" s="13">
        <v>0</v>
      </c>
      <c r="AG25" s="13">
        <f>SUM($AE$25:$AF$25)</f>
        <v>0</v>
      </c>
      <c r="AH25" s="13">
        <f>'TR TUSD'!$AH$25*'TR TUSD'!$AH$60</f>
        <v>21.650685326441078</v>
      </c>
      <c r="AI25" s="13">
        <f>'TR TUSD'!$AI$25*'TR TUSD'!$AI$60</f>
        <v>0</v>
      </c>
      <c r="AJ25" s="13">
        <f ca="1">'TR TUSD'!$AJ$25*'TR TUSD'!$AJ$60</f>
        <v>0</v>
      </c>
      <c r="AK25" s="13">
        <f ca="1">'TR TUSD'!$AK$25*'TR TUSD'!$AK$60</f>
        <v>0</v>
      </c>
      <c r="AL25" s="13">
        <f ca="1">SUM($AH$25:$AK$25)</f>
        <v>21.650685326441078</v>
      </c>
      <c r="AM25" s="13">
        <f ca="1">SUMIF($L$4:$AL$4,"SUBTOTAL",$L$25:$AL$25)</f>
        <v>756.32608161848884</v>
      </c>
      <c r="AP25" s="13">
        <v>1</v>
      </c>
    </row>
    <row r="26" spans="1:42" ht="11.25" customHeight="1" x14ac:dyDescent="0.3">
      <c r="A26" s="92"/>
      <c r="B26" s="92"/>
      <c r="C26" s="92"/>
      <c r="D26" s="17" t="s">
        <v>29</v>
      </c>
      <c r="E26" s="17" t="s">
        <v>25</v>
      </c>
      <c r="F26" s="17" t="s">
        <v>25</v>
      </c>
      <c r="G26" s="18" t="s">
        <v>75</v>
      </c>
      <c r="H26" s="18" t="s">
        <v>69</v>
      </c>
      <c r="I26" s="18">
        <f>'MERCADO TUSD'!$U$23</f>
        <v>0</v>
      </c>
      <c r="J26" s="15"/>
      <c r="L26" s="13">
        <f>'TR TUSD'!$L$26*'TR TUSD'!$L$60</f>
        <v>0</v>
      </c>
      <c r="M26" s="13">
        <f>'TR TUSD'!$M$26*'TR TUSD'!$M$60</f>
        <v>2.1629228538445284</v>
      </c>
      <c r="N26" s="13">
        <f ca="1">'TR TUSD'!$N$26*'TR TUSD'!$N$60</f>
        <v>0</v>
      </c>
      <c r="O26" s="13">
        <f>'TR TUSD'!$O$26*'TR TUSD'!$O$60</f>
        <v>0</v>
      </c>
      <c r="P26" s="13">
        <f>'TR TUSD'!$P$26*'TR TUSD'!$P$60</f>
        <v>0</v>
      </c>
      <c r="Q26" s="13">
        <f>'TR TUSD'!$Q$26*'TR TUSD'!$Q$60</f>
        <v>0</v>
      </c>
      <c r="R26" s="13">
        <f>'TR TUSD'!$R$26*'TR TUSD'!$R$60</f>
        <v>0</v>
      </c>
      <c r="S26" s="13">
        <f>'TR TUSD'!$S$26*'TR TUSD'!$S$60</f>
        <v>0</v>
      </c>
      <c r="T26" s="13">
        <f ca="1">SUM($L$26:$S$26)</f>
        <v>2.1629228538445284</v>
      </c>
      <c r="U26" s="13">
        <f>'TR TUSD'!$U$26*'TR TUSD'!$U$60</f>
        <v>0</v>
      </c>
      <c r="V26" s="13">
        <f>'TR TUSD'!$V$26*'TR TUSD'!$V$60</f>
        <v>0</v>
      </c>
      <c r="W26" s="13">
        <f>'TR TUSD'!$W$26*'TR TUSD'!$W$60</f>
        <v>0</v>
      </c>
      <c r="X26" s="13">
        <f>'TR TUSD'!$X$26*'TR TUSD'!$X$60</f>
        <v>0</v>
      </c>
      <c r="Y26" s="13">
        <f>'TR TUSD'!$Y$26*'TR TUSD'!$Y$60</f>
        <v>109.48237123272102</v>
      </c>
      <c r="Z26" s="13">
        <f>'TR TUSD'!$Z$26</f>
        <v>0</v>
      </c>
      <c r="AA26" s="13">
        <f>'TR TUSD'!$AA$26</f>
        <v>0</v>
      </c>
      <c r="AB26" s="13">
        <f>SUM($U$26:$AA$26)</f>
        <v>109.48237123272102</v>
      </c>
      <c r="AC26" s="13">
        <f>'TR TUSD'!$AC$26*'TR TUSD'!$AC$60</f>
        <v>518.36410285402815</v>
      </c>
      <c r="AD26" s="13">
        <f>SUM($AC$26:$AC$26)</f>
        <v>518.36410285402815</v>
      </c>
      <c r="AE26" s="13">
        <v>0</v>
      </c>
      <c r="AF26" s="13">
        <v>0</v>
      </c>
      <c r="AG26" s="13">
        <f>SUM($AE$26:$AF$26)</f>
        <v>0</v>
      </c>
      <c r="AH26" s="13">
        <f>'TR TUSD'!$AH$26*'TR TUSD'!$AH$60</f>
        <v>21.650685326441078</v>
      </c>
      <c r="AI26" s="13">
        <f>'TR TUSD'!$AI$26*'TR TUSD'!$AI$60</f>
        <v>0</v>
      </c>
      <c r="AJ26" s="13">
        <f ca="1">'TR TUSD'!$AJ$26*'TR TUSD'!$AJ$60</f>
        <v>0</v>
      </c>
      <c r="AK26" s="13">
        <f ca="1">'TR TUSD'!$AK$26*'TR TUSD'!$AK$60</f>
        <v>0</v>
      </c>
      <c r="AL26" s="13">
        <f ca="1">SUM($AH$26:$AK$26)</f>
        <v>21.650685326441078</v>
      </c>
      <c r="AM26" s="13">
        <f ca="1">SUMIF($L$4:$AL$4,"SUBTOTAL",$L$26:$AL$26)</f>
        <v>651.6600822670348</v>
      </c>
      <c r="AP26" s="13">
        <f>IF((1 - CUSTOS!$M$24)&lt;&gt;0,1/(1 - CUSTOS!$M$24),1)</f>
        <v>1</v>
      </c>
    </row>
    <row r="27" spans="1:42" ht="11.25" customHeight="1" x14ac:dyDescent="0.3">
      <c r="A27" s="92"/>
      <c r="B27" s="92"/>
      <c r="C27" s="92"/>
      <c r="D27" s="17" t="s">
        <v>30</v>
      </c>
      <c r="E27" s="17" t="s">
        <v>25</v>
      </c>
      <c r="F27" s="17" t="s">
        <v>25</v>
      </c>
      <c r="G27" s="18" t="s">
        <v>75</v>
      </c>
      <c r="H27" s="18" t="s">
        <v>69</v>
      </c>
      <c r="I27" s="18">
        <f>'MERCADO TUSD'!$U$24</f>
        <v>0</v>
      </c>
      <c r="J27" s="15"/>
      <c r="L27" s="13">
        <f>'TR TUSD'!$L$27*'TR TUSD'!$L$60</f>
        <v>0</v>
      </c>
      <c r="M27" s="13">
        <f>'TR TUSD'!$M$27*'TR TUSD'!$M$60</f>
        <v>2.1629228538445284</v>
      </c>
      <c r="N27" s="13">
        <f ca="1">'TR TUSD'!$N$27*'TR TUSD'!$N$60</f>
        <v>0</v>
      </c>
      <c r="O27" s="13">
        <f>'TR TUSD'!$O$27*'TR TUSD'!$O$60</f>
        <v>0</v>
      </c>
      <c r="P27" s="13">
        <f>'TR TUSD'!$P$27*'TR TUSD'!$P$60</f>
        <v>0</v>
      </c>
      <c r="Q27" s="13">
        <f>'TR TUSD'!$Q$27*'TR TUSD'!$Q$60</f>
        <v>0</v>
      </c>
      <c r="R27" s="13">
        <f>'TR TUSD'!$R$27*'TR TUSD'!$R$60</f>
        <v>0</v>
      </c>
      <c r="S27" s="13">
        <f>'TR TUSD'!$S$27*'TR TUSD'!$S$60</f>
        <v>0</v>
      </c>
      <c r="T27" s="13">
        <f ca="1">SUM($L$27:$S$27)</f>
        <v>2.1629228538445284</v>
      </c>
      <c r="U27" s="13">
        <f>'TR TUSD'!$U$27*'TR TUSD'!$U$60</f>
        <v>0</v>
      </c>
      <c r="V27" s="13">
        <f>'TR TUSD'!$V$27*'TR TUSD'!$V$60</f>
        <v>0</v>
      </c>
      <c r="W27" s="13">
        <f>'TR TUSD'!$W$27*'TR TUSD'!$W$60</f>
        <v>0</v>
      </c>
      <c r="X27" s="13">
        <f>'TR TUSD'!$X$27*'TR TUSD'!$X$60</f>
        <v>0</v>
      </c>
      <c r="Y27" s="13">
        <f>'TR TUSD'!$Y$27*'TR TUSD'!$Y$60</f>
        <v>109.48237123272102</v>
      </c>
      <c r="Z27" s="13">
        <f>'TR TUSD'!$Z$27</f>
        <v>0</v>
      </c>
      <c r="AA27" s="13">
        <f>'TR TUSD'!$AA$27</f>
        <v>0</v>
      </c>
      <c r="AB27" s="13">
        <f>SUM($U$27:$AA$27)</f>
        <v>109.48237123272102</v>
      </c>
      <c r="AC27" s="13">
        <f>'TR TUSD'!$AC$27*'TR TUSD'!$AC$60</f>
        <v>518.36410285402815</v>
      </c>
      <c r="AD27" s="13">
        <f>SUM($AC$27:$AC$27)</f>
        <v>518.36410285402815</v>
      </c>
      <c r="AE27" s="13">
        <v>0</v>
      </c>
      <c r="AF27" s="13">
        <v>0</v>
      </c>
      <c r="AG27" s="13">
        <f>SUM($AE$27:$AF$27)</f>
        <v>0</v>
      </c>
      <c r="AH27" s="13">
        <f>'TR TUSD'!$AH$27*'TR TUSD'!$AH$60</f>
        <v>21.650685326441078</v>
      </c>
      <c r="AI27" s="13">
        <f>'TR TUSD'!$AI$27*'TR TUSD'!$AI$60</f>
        <v>0</v>
      </c>
      <c r="AJ27" s="13">
        <f ca="1">'TR TUSD'!$AJ$27*'TR TUSD'!$AJ$60</f>
        <v>0</v>
      </c>
      <c r="AK27" s="13">
        <f ca="1">'TR TUSD'!$AK$27*'TR TUSD'!$AK$60</f>
        <v>0</v>
      </c>
      <c r="AL27" s="13">
        <f ca="1">SUM($AH$27:$AK$27)</f>
        <v>21.650685326441078</v>
      </c>
      <c r="AM27" s="13">
        <f ca="1">SUMIF($L$4:$AL$4,"SUBTOTAL",$L$27:$AL$27)</f>
        <v>651.6600822670348</v>
      </c>
      <c r="AP27" s="13">
        <f>IF((1 - CUSTOS!$M$25)&lt;&gt;0,1/(1 - CUSTOS!$M$25),1)</f>
        <v>1</v>
      </c>
    </row>
    <row r="28" spans="1:42" ht="11.25" customHeight="1" x14ac:dyDescent="0.3">
      <c r="A28" s="92"/>
      <c r="B28" s="92"/>
      <c r="C28" s="92"/>
      <c r="D28" s="17" t="s">
        <v>31</v>
      </c>
      <c r="E28" s="17" t="s">
        <v>25</v>
      </c>
      <c r="F28" s="17" t="s">
        <v>25</v>
      </c>
      <c r="G28" s="18" t="s">
        <v>75</v>
      </c>
      <c r="H28" s="18" t="s">
        <v>69</v>
      </c>
      <c r="I28" s="18">
        <f>'MERCADO TUSD'!$U$25</f>
        <v>0</v>
      </c>
      <c r="J28" s="15"/>
      <c r="L28" s="13">
        <f>'TR TUSD'!$L$28*'TR TUSD'!$L$60</f>
        <v>0</v>
      </c>
      <c r="M28" s="13">
        <f>'TR TUSD'!$M$28*'TR TUSD'!$M$60</f>
        <v>2.1629228538445284</v>
      </c>
      <c r="N28" s="13">
        <f ca="1">'TR TUSD'!$N$28*'TR TUSD'!$N$60</f>
        <v>0</v>
      </c>
      <c r="O28" s="13">
        <f>'TR TUSD'!$O$28*'TR TUSD'!$O$60</f>
        <v>0</v>
      </c>
      <c r="P28" s="13">
        <f>'TR TUSD'!$P$28*'TR TUSD'!$P$60</f>
        <v>0</v>
      </c>
      <c r="Q28" s="13">
        <f>'TR TUSD'!$Q$28*'TR TUSD'!$Q$60</f>
        <v>0</v>
      </c>
      <c r="R28" s="13">
        <f>'TR TUSD'!$R$28*'TR TUSD'!$R$60</f>
        <v>0</v>
      </c>
      <c r="S28" s="13">
        <f>'TR TUSD'!$S$28*'TR TUSD'!$S$60</f>
        <v>0</v>
      </c>
      <c r="T28" s="13">
        <f ca="1">SUM($L$28:$S$28)</f>
        <v>2.1629228538445284</v>
      </c>
      <c r="U28" s="13">
        <f>'TR TUSD'!$U$28*'TR TUSD'!$U$60</f>
        <v>0</v>
      </c>
      <c r="V28" s="13">
        <f>'TR TUSD'!$V$28*'TR TUSD'!$V$60</f>
        <v>0</v>
      </c>
      <c r="W28" s="13">
        <f>'TR TUSD'!$W$28*'TR TUSD'!$W$60</f>
        <v>0</v>
      </c>
      <c r="X28" s="13">
        <f>'TR TUSD'!$X$28*'TR TUSD'!$X$60</f>
        <v>0</v>
      </c>
      <c r="Y28" s="13">
        <f>'TR TUSD'!$Y$28*'TR TUSD'!$Y$60</f>
        <v>109.48237123272102</v>
      </c>
      <c r="Z28" s="13">
        <f>'TR TUSD'!$Z$28</f>
        <v>0</v>
      </c>
      <c r="AA28" s="13">
        <f>'TR TUSD'!$AA$28</f>
        <v>0</v>
      </c>
      <c r="AB28" s="13">
        <f>SUM($U$28:$AA$28)</f>
        <v>109.48237123272102</v>
      </c>
      <c r="AC28" s="13">
        <f>'TR TUSD'!$AC$28*'TR TUSD'!$AC$60</f>
        <v>518.36410285402815</v>
      </c>
      <c r="AD28" s="13">
        <f>SUM($AC$28:$AC$28)</f>
        <v>518.36410285402815</v>
      </c>
      <c r="AE28" s="13">
        <v>0</v>
      </c>
      <c r="AF28" s="13">
        <v>0</v>
      </c>
      <c r="AG28" s="13">
        <f>SUM($AE$28:$AF$28)</f>
        <v>0</v>
      </c>
      <c r="AH28" s="13">
        <f>'TR TUSD'!$AH$28*'TR TUSD'!$AH$60</f>
        <v>21.650685326441078</v>
      </c>
      <c r="AI28" s="13">
        <f>'TR TUSD'!$AI$28*'TR TUSD'!$AI$60</f>
        <v>0</v>
      </c>
      <c r="AJ28" s="13">
        <f ca="1">'TR TUSD'!$AJ$28*'TR TUSD'!$AJ$60</f>
        <v>0</v>
      </c>
      <c r="AK28" s="13">
        <f ca="1">'TR TUSD'!$AK$28*'TR TUSD'!$AK$60</f>
        <v>0</v>
      </c>
      <c r="AL28" s="13">
        <f ca="1">SUM($AH$28:$AK$28)</f>
        <v>21.650685326441078</v>
      </c>
      <c r="AM28" s="13">
        <f ca="1">SUMIF($L$4:$AL$4,"SUBTOTAL",$L$28:$AL$28)</f>
        <v>651.6600822670348</v>
      </c>
      <c r="AP28" s="13">
        <f>IF((1 - CUSTOS!$M$26)&lt;&gt;0,1/(1 - CUSTOS!$M$26),1)</f>
        <v>1</v>
      </c>
    </row>
    <row r="29" spans="1:42" ht="11.25" customHeight="1" x14ac:dyDescent="0.3">
      <c r="A29" s="92"/>
      <c r="B29" s="92"/>
      <c r="C29" s="92"/>
      <c r="D29" s="17" t="s">
        <v>32</v>
      </c>
      <c r="E29" s="17" t="s">
        <v>25</v>
      </c>
      <c r="F29" s="17" t="s">
        <v>25</v>
      </c>
      <c r="G29" s="18" t="s">
        <v>75</v>
      </c>
      <c r="H29" s="18" t="s">
        <v>69</v>
      </c>
      <c r="I29" s="18">
        <f>'MERCADO TUSD'!$U$26</f>
        <v>0</v>
      </c>
      <c r="J29" s="15"/>
      <c r="L29" s="13">
        <f>'TR TUSD'!$L$29*'TR TUSD'!$L$60</f>
        <v>0</v>
      </c>
      <c r="M29" s="13">
        <f>'TR TUSD'!$M$29*'TR TUSD'!$M$60</f>
        <v>2.1629228538445284</v>
      </c>
      <c r="N29" s="13">
        <f ca="1">'TR TUSD'!$N$29*'TR TUSD'!$N$60</f>
        <v>0</v>
      </c>
      <c r="O29" s="13">
        <f>'TR TUSD'!$O$29*'TR TUSD'!$O$60</f>
        <v>0</v>
      </c>
      <c r="P29" s="13">
        <f>'TR TUSD'!$P$29*'TR TUSD'!$P$60</f>
        <v>0</v>
      </c>
      <c r="Q29" s="13">
        <f>'TR TUSD'!$Q$29*'TR TUSD'!$Q$60</f>
        <v>0</v>
      </c>
      <c r="R29" s="13">
        <f>'TR TUSD'!$R$29*'TR TUSD'!$R$60</f>
        <v>0</v>
      </c>
      <c r="S29" s="13">
        <f>'TR TUSD'!$S$29*'TR TUSD'!$S$60</f>
        <v>0</v>
      </c>
      <c r="T29" s="13">
        <f ca="1">SUM($L$29:$S$29)</f>
        <v>2.1629228538445284</v>
      </c>
      <c r="U29" s="13">
        <f>'TR TUSD'!$U$29*'TR TUSD'!$U$60</f>
        <v>0</v>
      </c>
      <c r="V29" s="13">
        <f>'TR TUSD'!$V$29*'TR TUSD'!$V$60</f>
        <v>0</v>
      </c>
      <c r="W29" s="13">
        <f>'TR TUSD'!$W$29*'TR TUSD'!$W$60</f>
        <v>0</v>
      </c>
      <c r="X29" s="13">
        <f>'TR TUSD'!$X$29*'TR TUSD'!$X$60</f>
        <v>0</v>
      </c>
      <c r="Y29" s="13">
        <f>'TR TUSD'!$Y$29*'TR TUSD'!$Y$60</f>
        <v>109.48237123272102</v>
      </c>
      <c r="Z29" s="13">
        <f>'TR TUSD'!$Z$29</f>
        <v>0</v>
      </c>
      <c r="AA29" s="13">
        <f>'TR TUSD'!$AA$29</f>
        <v>0</v>
      </c>
      <c r="AB29" s="13">
        <f>SUM($U$29:$AA$29)</f>
        <v>109.48237123272102</v>
      </c>
      <c r="AC29" s="13">
        <f>'TR TUSD'!$AC$29*'TR TUSD'!$AC$60</f>
        <v>518.36410285402815</v>
      </c>
      <c r="AD29" s="13">
        <f>SUM($AC$29:$AC$29)</f>
        <v>518.36410285402815</v>
      </c>
      <c r="AE29" s="13">
        <v>0</v>
      </c>
      <c r="AF29" s="13">
        <v>0</v>
      </c>
      <c r="AG29" s="13">
        <f>SUM($AE$29:$AF$29)</f>
        <v>0</v>
      </c>
      <c r="AH29" s="13">
        <f>'TR TUSD'!$AH$29*'TR TUSD'!$AH$60</f>
        <v>21.650685326441078</v>
      </c>
      <c r="AI29" s="13">
        <f>'TR TUSD'!$AI$29*'TR TUSD'!$AI$60</f>
        <v>0</v>
      </c>
      <c r="AJ29" s="13">
        <f ca="1">'TR TUSD'!$AJ$29*'TR TUSD'!$AJ$60</f>
        <v>0</v>
      </c>
      <c r="AK29" s="13">
        <f ca="1">'TR TUSD'!$AK$29*'TR TUSD'!$AK$60</f>
        <v>0</v>
      </c>
      <c r="AL29" s="13">
        <f ca="1">SUM($AH$29:$AK$29)</f>
        <v>21.650685326441078</v>
      </c>
      <c r="AM29" s="13">
        <f ca="1">SUMIF($L$4:$AL$4,"SUBTOTAL",$L$29:$AL$29)</f>
        <v>651.6600822670348</v>
      </c>
      <c r="AP29" s="13">
        <f>IF((1 - CUSTOS!$M$27)&lt;&gt;0,1/(1 - CUSTOS!$M$27),1)</f>
        <v>1</v>
      </c>
    </row>
    <row r="30" spans="1:42" ht="11.25" customHeight="1" x14ac:dyDescent="0.3">
      <c r="A30" s="92" t="s">
        <v>42</v>
      </c>
      <c r="B30" s="92" t="s">
        <v>39</v>
      </c>
      <c r="C30" s="92" t="s">
        <v>43</v>
      </c>
      <c r="D30" s="92" t="s">
        <v>25</v>
      </c>
      <c r="E30" s="92" t="s">
        <v>25</v>
      </c>
      <c r="F30" s="92" t="s">
        <v>25</v>
      </c>
      <c r="G30" s="18" t="s">
        <v>70</v>
      </c>
      <c r="H30" s="18" t="s">
        <v>69</v>
      </c>
      <c r="I30" s="18">
        <f>'MERCADO TUSD'!$U$27</f>
        <v>0</v>
      </c>
      <c r="J30" s="15"/>
      <c r="L30" s="13">
        <f>'TR TUSD'!$L$30*'TR TUSD'!$L$60</f>
        <v>0</v>
      </c>
      <c r="M30" s="13">
        <f>'TR TUSD'!$M$30*'TR TUSD'!$M$60</f>
        <v>2.1629228538445284</v>
      </c>
      <c r="N30" s="13">
        <f ca="1">'TR TUSD'!$N$30*'TR TUSD'!$N$60</f>
        <v>0</v>
      </c>
      <c r="O30" s="13">
        <f>'TR TUSD'!$O$30*'TR TUSD'!$O$60</f>
        <v>0</v>
      </c>
      <c r="P30" s="13">
        <f>'TR TUSD'!$P$30*'TR TUSD'!$P$60</f>
        <v>0</v>
      </c>
      <c r="Q30" s="13">
        <f>'TR TUSD'!$Q$30*'TR TUSD'!$Q$60</f>
        <v>90.390041028898551</v>
      </c>
      <c r="R30" s="13">
        <f>'TR TUSD'!$R$30*'TR TUSD'!$R$60</f>
        <v>14.275958322555534</v>
      </c>
      <c r="S30" s="13">
        <f>'TR TUSD'!$S$30*'TR TUSD'!$S$60</f>
        <v>0</v>
      </c>
      <c r="T30" s="13">
        <f ca="1">SUM($L$30:$S$30)</f>
        <v>106.82892220529862</v>
      </c>
      <c r="U30" s="13">
        <f>'TR TUSD'!$U$30*'TR TUSD'!$U$60</f>
        <v>0</v>
      </c>
      <c r="V30" s="13">
        <f>'TR TUSD'!$V$30*'TR TUSD'!$V$60</f>
        <v>0</v>
      </c>
      <c r="W30" s="13">
        <f>'TR TUSD'!$W$30*'TR TUSD'!$W$60</f>
        <v>0</v>
      </c>
      <c r="X30" s="13">
        <f>'TR TUSD'!$X$30*'TR TUSD'!$X$60</f>
        <v>0</v>
      </c>
      <c r="Y30" s="13">
        <f>'TR TUSD'!$Y$30*'TR TUSD'!$Y$60</f>
        <v>322.9076961637723</v>
      </c>
      <c r="Z30" s="13">
        <f>'TR TUSD'!$Z$30</f>
        <v>0</v>
      </c>
      <c r="AA30" s="13">
        <f>'TR TUSD'!$AA$30</f>
        <v>0</v>
      </c>
      <c r="AB30" s="13">
        <f>SUM($U$30:$AA$30)</f>
        <v>322.9076961637723</v>
      </c>
      <c r="AC30" s="13">
        <f>'TR TUSD'!$AC$30*'TR TUSD'!$AC$60</f>
        <v>1529.1740474474509</v>
      </c>
      <c r="AD30" s="13">
        <f>SUM($AC$30:$AC$30)</f>
        <v>1529.1740474474509</v>
      </c>
      <c r="AE30" s="13">
        <v>0</v>
      </c>
      <c r="AF30" s="13">
        <v>0</v>
      </c>
      <c r="AG30" s="13">
        <f>SUM($AE$30:$AF$30)</f>
        <v>0</v>
      </c>
      <c r="AH30" s="13">
        <f>'TR TUSD'!$AH$30*'TR TUSD'!$AH$60</f>
        <v>21.650685326441078</v>
      </c>
      <c r="AI30" s="13">
        <f>'TR TUSD'!$AI$30*'TR TUSD'!$AI$60</f>
        <v>0</v>
      </c>
      <c r="AJ30" s="13">
        <f ca="1">'TR TUSD'!$AJ$30*'TR TUSD'!$AJ$60</f>
        <v>0</v>
      </c>
      <c r="AK30" s="13">
        <f ca="1">'TR TUSD'!$AK$30*'TR TUSD'!$AK$60</f>
        <v>0</v>
      </c>
      <c r="AL30" s="13">
        <f ca="1">SUM($AH$30:$AK$30)</f>
        <v>21.650685326441078</v>
      </c>
      <c r="AM30" s="13">
        <f ca="1">SUMIF($L$4:$AL$4,"SUBTOTAL",$L$30:$AL$30)</f>
        <v>1980.5613511429631</v>
      </c>
      <c r="AP30" s="13">
        <f>IF((1 - CUSTOS!$M$28)&lt;&gt;0,1/(1 - CUSTOS!$M$28),1)</f>
        <v>1</v>
      </c>
    </row>
    <row r="31" spans="1:42" ht="11.25" customHeight="1" x14ac:dyDescent="0.3">
      <c r="A31" s="92"/>
      <c r="B31" s="92"/>
      <c r="C31" s="92"/>
      <c r="D31" s="92"/>
      <c r="E31" s="92"/>
      <c r="F31" s="92"/>
      <c r="G31" s="18" t="s">
        <v>81</v>
      </c>
      <c r="H31" s="18" t="s">
        <v>69</v>
      </c>
      <c r="I31" s="18">
        <f>'MERCADO TUSD'!$U$28</f>
        <v>0</v>
      </c>
      <c r="J31" s="15"/>
      <c r="L31" s="13">
        <f>'TR TUSD'!$L$31*'TR TUSD'!$L$60</f>
        <v>0</v>
      </c>
      <c r="M31" s="13">
        <f>'TR TUSD'!$M$31*'TR TUSD'!$M$60</f>
        <v>2.1629228538445284</v>
      </c>
      <c r="N31" s="13">
        <f ca="1">'TR TUSD'!$N$31*'TR TUSD'!$N$60</f>
        <v>0</v>
      </c>
      <c r="O31" s="13">
        <f>'TR TUSD'!$O$31*'TR TUSD'!$O$60</f>
        <v>0</v>
      </c>
      <c r="P31" s="13">
        <f>'TR TUSD'!$P$31*'TR TUSD'!$P$60</f>
        <v>0</v>
      </c>
      <c r="Q31" s="13">
        <f>'TR TUSD'!$Q$31*'TR TUSD'!$Q$60</f>
        <v>90.390041028898551</v>
      </c>
      <c r="R31" s="13">
        <f>'TR TUSD'!$R$31*'TR TUSD'!$R$60</f>
        <v>14.275958322555534</v>
      </c>
      <c r="S31" s="13">
        <f>'TR TUSD'!$S$31*'TR TUSD'!$S$60</f>
        <v>0</v>
      </c>
      <c r="T31" s="13">
        <f ca="1">SUM($L$31:$S$31)</f>
        <v>106.82892220529862</v>
      </c>
      <c r="U31" s="13">
        <f>'TR TUSD'!$U$31*'TR TUSD'!$U$60</f>
        <v>0</v>
      </c>
      <c r="V31" s="13">
        <f>'TR TUSD'!$V$31*'TR TUSD'!$V$60</f>
        <v>0</v>
      </c>
      <c r="W31" s="13">
        <f>'TR TUSD'!$W$31*'TR TUSD'!$W$60</f>
        <v>0</v>
      </c>
      <c r="X31" s="13">
        <f>'TR TUSD'!$X$31*'TR TUSD'!$X$60</f>
        <v>0</v>
      </c>
      <c r="Y31" s="13">
        <f>'TR TUSD'!$Y$31*'TR TUSD'!$Y$60</f>
        <v>193.69483410350648</v>
      </c>
      <c r="Z31" s="13">
        <f>'TR TUSD'!$Z$31</f>
        <v>0</v>
      </c>
      <c r="AA31" s="13">
        <f>'TR TUSD'!$AA$31</f>
        <v>0</v>
      </c>
      <c r="AB31" s="13">
        <f>SUM($U$31:$AA$31)</f>
        <v>193.69483410350648</v>
      </c>
      <c r="AC31" s="13">
        <f>'TR TUSD'!$AC$31*'TR TUSD'!$AC$60</f>
        <v>917.50483553706783</v>
      </c>
      <c r="AD31" s="13">
        <f>SUM($AC$31:$AC$31)</f>
        <v>917.50483553706783</v>
      </c>
      <c r="AE31" s="13">
        <v>0</v>
      </c>
      <c r="AF31" s="13">
        <v>0</v>
      </c>
      <c r="AG31" s="13">
        <f>SUM($AE$31:$AF$31)</f>
        <v>0</v>
      </c>
      <c r="AH31" s="13">
        <f>'TR TUSD'!$AH$31*'TR TUSD'!$AH$60</f>
        <v>21.650685326441078</v>
      </c>
      <c r="AI31" s="13">
        <f>'TR TUSD'!$AI$31*'TR TUSD'!$AI$60</f>
        <v>0</v>
      </c>
      <c r="AJ31" s="13">
        <f ca="1">'TR TUSD'!$AJ$31*'TR TUSD'!$AJ$60</f>
        <v>0</v>
      </c>
      <c r="AK31" s="13">
        <f ca="1">'TR TUSD'!$AK$31*'TR TUSD'!$AK$60</f>
        <v>0</v>
      </c>
      <c r="AL31" s="13">
        <f ca="1">SUM($AH$31:$AK$31)</f>
        <v>21.650685326441078</v>
      </c>
      <c r="AM31" s="13">
        <f ca="1">SUMIF($L$4:$AL$4,"SUBTOTAL",$L$31:$AL$31)</f>
        <v>1239.6792771723142</v>
      </c>
      <c r="AP31" s="13">
        <f>IF((1 - CUSTOS!$M$28)&lt;&gt;0,1/(1 - CUSTOS!$M$28),1)</f>
        <v>1</v>
      </c>
    </row>
    <row r="32" spans="1:42" ht="11.25" customHeight="1" x14ac:dyDescent="0.3">
      <c r="A32" s="92"/>
      <c r="B32" s="92"/>
      <c r="C32" s="92"/>
      <c r="D32" s="92"/>
      <c r="E32" s="92"/>
      <c r="F32" s="92"/>
      <c r="G32" s="18" t="s">
        <v>71</v>
      </c>
      <c r="H32" s="18" t="s">
        <v>69</v>
      </c>
      <c r="I32" s="18">
        <f>'MERCADO TUSD'!$U$29</f>
        <v>0</v>
      </c>
      <c r="J32" s="15"/>
      <c r="L32" s="13">
        <f>'TR TUSD'!$L$32*'TR TUSD'!$L$60</f>
        <v>0</v>
      </c>
      <c r="M32" s="13">
        <f>'TR TUSD'!$M$32*'TR TUSD'!$M$60</f>
        <v>2.1629228538445284</v>
      </c>
      <c r="N32" s="13">
        <f ca="1">'TR TUSD'!$N$32*'TR TUSD'!$N$60</f>
        <v>0</v>
      </c>
      <c r="O32" s="13">
        <f>'TR TUSD'!$O$32*'TR TUSD'!$O$60</f>
        <v>0</v>
      </c>
      <c r="P32" s="13">
        <f>'TR TUSD'!$P$32*'TR TUSD'!$P$60</f>
        <v>0</v>
      </c>
      <c r="Q32" s="13">
        <f>'TR TUSD'!$Q$32*'TR TUSD'!$Q$60</f>
        <v>90.390041028898551</v>
      </c>
      <c r="R32" s="13">
        <f>'TR TUSD'!$R$32*'TR TUSD'!$R$60</f>
        <v>14.275958322555534</v>
      </c>
      <c r="S32" s="13">
        <f>'TR TUSD'!$S$32*'TR TUSD'!$S$60</f>
        <v>0</v>
      </c>
      <c r="T32" s="13">
        <f ca="1">SUM($L$32:$S$32)</f>
        <v>106.82892220529862</v>
      </c>
      <c r="U32" s="13">
        <f>'TR TUSD'!$U$32*'TR TUSD'!$U$60</f>
        <v>0</v>
      </c>
      <c r="V32" s="13">
        <f>'TR TUSD'!$V$32*'TR TUSD'!$V$60</f>
        <v>0</v>
      </c>
      <c r="W32" s="13">
        <f>'TR TUSD'!$W$32*'TR TUSD'!$W$60</f>
        <v>0</v>
      </c>
      <c r="X32" s="13">
        <f>'TR TUSD'!$X$32*'TR TUSD'!$X$60</f>
        <v>0</v>
      </c>
      <c r="Y32" s="13">
        <f>'TR TUSD'!$Y$32*'TR TUSD'!$Y$60</f>
        <v>64.60648193360403</v>
      </c>
      <c r="Z32" s="13">
        <f>'TR TUSD'!$Z$32</f>
        <v>0</v>
      </c>
      <c r="AA32" s="13">
        <f>'TR TUSD'!$AA$32</f>
        <v>0</v>
      </c>
      <c r="AB32" s="13">
        <f>SUM($U$32:$AA$32)</f>
        <v>64.60648193360403</v>
      </c>
      <c r="AC32" s="13">
        <f>'TR TUSD'!$AC$32*'TR TUSD'!$AC$60</f>
        <v>305.83460595519165</v>
      </c>
      <c r="AD32" s="13">
        <f>SUM($AC$32:$AC$32)</f>
        <v>305.83460595519165</v>
      </c>
      <c r="AE32" s="13">
        <v>0</v>
      </c>
      <c r="AF32" s="13">
        <v>0</v>
      </c>
      <c r="AG32" s="13">
        <f>SUM($AE$32:$AF$32)</f>
        <v>0</v>
      </c>
      <c r="AH32" s="13">
        <f>'TR TUSD'!$AH$32*'TR TUSD'!$AH$60</f>
        <v>21.650685326441078</v>
      </c>
      <c r="AI32" s="13">
        <f>'TR TUSD'!$AI$32*'TR TUSD'!$AI$60</f>
        <v>0</v>
      </c>
      <c r="AJ32" s="13">
        <f ca="1">'TR TUSD'!$AJ$32*'TR TUSD'!$AJ$60</f>
        <v>0</v>
      </c>
      <c r="AK32" s="13">
        <f ca="1">'TR TUSD'!$AK$32*'TR TUSD'!$AK$60</f>
        <v>0</v>
      </c>
      <c r="AL32" s="13">
        <f ca="1">SUM($AH$32:$AK$32)</f>
        <v>21.650685326441078</v>
      </c>
      <c r="AM32" s="13">
        <f ca="1">SUMIF($L$4:$AL$4,"SUBTOTAL",$L$32:$AL$32)</f>
        <v>498.92069542053537</v>
      </c>
      <c r="AP32" s="13">
        <f>IF((1 - CUSTOS!$M$28)&lt;&gt;0,1/(1 - CUSTOS!$M$28),1)</f>
        <v>1</v>
      </c>
    </row>
    <row r="33" spans="1:42" ht="11.25" customHeight="1" x14ac:dyDescent="0.3">
      <c r="A33" s="92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75</v>
      </c>
      <c r="H33" s="18" t="s">
        <v>69</v>
      </c>
      <c r="I33" s="18">
        <f>'MERCADO TUSD'!$U$30</f>
        <v>3371.0129999999999</v>
      </c>
      <c r="J33" s="15"/>
      <c r="L33" s="13">
        <f>'TR TUSD'!$L$33*'TR TUSD'!$L$60</f>
        <v>0</v>
      </c>
      <c r="M33" s="13">
        <f>'TR TUSD'!$M$33*'TR TUSD'!$M$60</f>
        <v>2.1629228538445284</v>
      </c>
      <c r="N33" s="13">
        <f ca="1">'TR TUSD'!$N$33*'TR TUSD'!$N$60</f>
        <v>0</v>
      </c>
      <c r="O33" s="13">
        <f>'TR TUSD'!$O$33*'TR TUSD'!$O$60</f>
        <v>0</v>
      </c>
      <c r="P33" s="13">
        <f>'TR TUSD'!$P$33*'TR TUSD'!$P$60</f>
        <v>0</v>
      </c>
      <c r="Q33" s="13">
        <f>'TR TUSD'!$Q$33*'TR TUSD'!$Q$60</f>
        <v>90.390041028898551</v>
      </c>
      <c r="R33" s="13">
        <f>'TR TUSD'!$R$33*'TR TUSD'!$R$60</f>
        <v>14.275958322555534</v>
      </c>
      <c r="S33" s="13">
        <f>'TR TUSD'!$S$33*'TR TUSD'!$S$60</f>
        <v>0</v>
      </c>
      <c r="T33" s="13">
        <f ca="1">SUM($L$33:$S$33)</f>
        <v>106.82892220529862</v>
      </c>
      <c r="U33" s="13">
        <f>'TR TUSD'!$U$33*'TR TUSD'!$U$60</f>
        <v>0</v>
      </c>
      <c r="V33" s="13">
        <f>'TR TUSD'!$V$33*'TR TUSD'!$V$60</f>
        <v>0</v>
      </c>
      <c r="W33" s="13">
        <f>'TR TUSD'!$W$33*'TR TUSD'!$W$60</f>
        <v>0</v>
      </c>
      <c r="X33" s="13">
        <f>'TR TUSD'!$X$33*'TR TUSD'!$X$60</f>
        <v>0</v>
      </c>
      <c r="Y33" s="13">
        <f>'TR TUSD'!$Y$33*'TR TUSD'!$Y$60</f>
        <v>109.48237123272102</v>
      </c>
      <c r="Z33" s="13">
        <f>'TR TUSD'!$Z$33</f>
        <v>0</v>
      </c>
      <c r="AA33" s="13">
        <f>'TR TUSD'!$AA$33</f>
        <v>0</v>
      </c>
      <c r="AB33" s="13">
        <f>SUM($U$33:$AA$33)</f>
        <v>109.48237123272102</v>
      </c>
      <c r="AC33" s="13">
        <f>'TR TUSD'!$AC$33*'TR TUSD'!$AC$60</f>
        <v>518.36410285402815</v>
      </c>
      <c r="AD33" s="13">
        <f>SUM($AC$33:$AC$33)</f>
        <v>518.36410285402815</v>
      </c>
      <c r="AE33" s="13">
        <v>0</v>
      </c>
      <c r="AF33" s="13">
        <v>0</v>
      </c>
      <c r="AG33" s="13">
        <f>SUM($AE$33:$AF$33)</f>
        <v>0</v>
      </c>
      <c r="AH33" s="13">
        <f>'TR TUSD'!$AH$33*'TR TUSD'!$AH$60</f>
        <v>21.650685326441078</v>
      </c>
      <c r="AI33" s="13">
        <f>'TR TUSD'!$AI$33*'TR TUSD'!$AI$60</f>
        <v>0</v>
      </c>
      <c r="AJ33" s="13">
        <f ca="1">'TR TUSD'!$AJ$33*'TR TUSD'!$AJ$60</f>
        <v>0</v>
      </c>
      <c r="AK33" s="13">
        <f ca="1">'TR TUSD'!$AK$33*'TR TUSD'!$AK$60</f>
        <v>0</v>
      </c>
      <c r="AL33" s="13">
        <f ca="1">SUM($AH$33:$AK$33)</f>
        <v>21.650685326441078</v>
      </c>
      <c r="AM33" s="13">
        <f ca="1">SUMIF($L$4:$AL$4,"SUBTOTAL",$L$33:$AL$33)</f>
        <v>756.32608161848884</v>
      </c>
      <c r="AP33" s="13">
        <f>IF((1 - CUSTOS!$M$28)&lt;&gt;0,1/(1 - CUSTOS!$M$28),1)</f>
        <v>1</v>
      </c>
    </row>
    <row r="34" spans="1:42" ht="11.25" customHeight="1" x14ac:dyDescent="0.3">
      <c r="A34" s="92"/>
      <c r="B34" s="92" t="s">
        <v>39</v>
      </c>
      <c r="C34" s="92" t="s">
        <v>43</v>
      </c>
      <c r="D34" s="92" t="s">
        <v>85</v>
      </c>
      <c r="E34" s="92" t="s">
        <v>25</v>
      </c>
      <c r="F34" s="92" t="s">
        <v>25</v>
      </c>
      <c r="G34" s="18" t="s">
        <v>70</v>
      </c>
      <c r="H34" s="18" t="s">
        <v>69</v>
      </c>
      <c r="I34" s="18">
        <f>'MERCADO TUSD'!$U$31</f>
        <v>0</v>
      </c>
      <c r="J34" s="15"/>
      <c r="L34" s="13">
        <f>'TR TUSD'!$L$34*'TR TUSD'!$L$60</f>
        <v>0</v>
      </c>
      <c r="M34" s="13">
        <f>'TR TUSD'!$M$34*'TR TUSD'!$M$60</f>
        <v>2.1629228538445284</v>
      </c>
      <c r="N34" s="13">
        <f ca="1">'TR TUSD'!$N$34*'TR TUSD'!$N$60</f>
        <v>0</v>
      </c>
      <c r="O34" s="13">
        <f>'TR TUSD'!$O$34*'TR TUSD'!$O$60</f>
        <v>0</v>
      </c>
      <c r="P34" s="13">
        <f>'TR TUSD'!$P$34*'TR TUSD'!$P$60</f>
        <v>0</v>
      </c>
      <c r="Q34" s="13">
        <f>'TR TUSD'!$Q$34*'TR TUSD'!$Q$60</f>
        <v>90.390041028898551</v>
      </c>
      <c r="R34" s="13">
        <f>'TR TUSD'!$R$34*'TR TUSD'!$R$60</f>
        <v>14.275958322555534</v>
      </c>
      <c r="S34" s="13">
        <f>'TR TUSD'!$S$34*'TR TUSD'!$S$60</f>
        <v>0</v>
      </c>
      <c r="T34" s="13">
        <f ca="1">SUM($L$34:$S$34)</f>
        <v>106.82892220529862</v>
      </c>
      <c r="U34" s="13">
        <f>'TR TUSD'!$U$34*'TR TUSD'!$U$60</f>
        <v>0</v>
      </c>
      <c r="V34" s="13">
        <f>'TR TUSD'!$V$34*'TR TUSD'!$V$60</f>
        <v>0</v>
      </c>
      <c r="W34" s="13">
        <f>'TR TUSD'!$W$34*'TR TUSD'!$W$60</f>
        <v>0</v>
      </c>
      <c r="X34" s="13">
        <f>'TR TUSD'!$X$34*'TR TUSD'!$X$60</f>
        <v>0</v>
      </c>
      <c r="Y34" s="13">
        <f>'TR TUSD'!$Y$34*'TR TUSD'!$Y$60</f>
        <v>322.9076961637723</v>
      </c>
      <c r="Z34" s="13">
        <f>'TR TUSD'!$Z$34</f>
        <v>0</v>
      </c>
      <c r="AA34" s="13">
        <f>'TR TUSD'!$AA$34</f>
        <v>0</v>
      </c>
      <c r="AB34" s="13">
        <f>SUM($U$34:$AA$34)</f>
        <v>322.9076961637723</v>
      </c>
      <c r="AC34" s="13">
        <f>'TR TUSD'!$AC$34*'TR TUSD'!$AC$60</f>
        <v>1529.1740474474509</v>
      </c>
      <c r="AD34" s="13">
        <f>SUM($AC$34:$AC$34)</f>
        <v>1529.1740474474509</v>
      </c>
      <c r="AE34" s="13">
        <v>0</v>
      </c>
      <c r="AF34" s="13">
        <v>0</v>
      </c>
      <c r="AG34" s="13">
        <f>SUM($AE$34:$AF$34)</f>
        <v>0</v>
      </c>
      <c r="AH34" s="13">
        <f>'TR TUSD'!$AH$34*'TR TUSD'!$AH$60</f>
        <v>21.650685326441078</v>
      </c>
      <c r="AI34" s="13">
        <f>'TR TUSD'!$AI$34*'TR TUSD'!$AI$60</f>
        <v>0</v>
      </c>
      <c r="AJ34" s="13">
        <f ca="1">'TR TUSD'!$AJ$34*'TR TUSD'!$AJ$60</f>
        <v>0</v>
      </c>
      <c r="AK34" s="13">
        <f ca="1">'TR TUSD'!$AK$34*'TR TUSD'!$AK$60</f>
        <v>0</v>
      </c>
      <c r="AL34" s="13">
        <f ca="1">SUM($AH$34:$AK$34)</f>
        <v>21.650685326441078</v>
      </c>
      <c r="AM34" s="13">
        <f ca="1">SUMIF($L$4:$AL$4,"SUBTOTAL",$L$34:$AL$34)</f>
        <v>1980.5613511429631</v>
      </c>
      <c r="AP34" s="13">
        <f>IF((1 - CUSTOS!$M$29)&lt;&gt;0,1/(1 - CUSTOS!$M$29),1)</f>
        <v>1</v>
      </c>
    </row>
    <row r="35" spans="1:42" ht="11.25" customHeight="1" x14ac:dyDescent="0.3">
      <c r="A35" s="92"/>
      <c r="B35" s="92"/>
      <c r="C35" s="92"/>
      <c r="D35" s="92"/>
      <c r="E35" s="92"/>
      <c r="F35" s="92"/>
      <c r="G35" s="18" t="s">
        <v>81</v>
      </c>
      <c r="H35" s="18" t="s">
        <v>69</v>
      </c>
      <c r="I35" s="18">
        <f>'MERCADO TUSD'!$U$32</f>
        <v>0</v>
      </c>
      <c r="J35" s="15"/>
      <c r="L35" s="13">
        <f>'TR TUSD'!$L$35*'TR TUSD'!$L$60</f>
        <v>0</v>
      </c>
      <c r="M35" s="13">
        <f>'TR TUSD'!$M$35*'TR TUSD'!$M$60</f>
        <v>2.1629228538445284</v>
      </c>
      <c r="N35" s="13">
        <f ca="1">'TR TUSD'!$N$35*'TR TUSD'!$N$60</f>
        <v>0</v>
      </c>
      <c r="O35" s="13">
        <f>'TR TUSD'!$O$35*'TR TUSD'!$O$60</f>
        <v>0</v>
      </c>
      <c r="P35" s="13">
        <f>'TR TUSD'!$P$35*'TR TUSD'!$P$60</f>
        <v>0</v>
      </c>
      <c r="Q35" s="13">
        <f>'TR TUSD'!$Q$35*'TR TUSD'!$Q$60</f>
        <v>90.390041028898551</v>
      </c>
      <c r="R35" s="13">
        <f>'TR TUSD'!$R$35*'TR TUSD'!$R$60</f>
        <v>14.275958322555534</v>
      </c>
      <c r="S35" s="13">
        <f>'TR TUSD'!$S$35*'TR TUSD'!$S$60</f>
        <v>0</v>
      </c>
      <c r="T35" s="13">
        <f ca="1">SUM($L$35:$S$35)</f>
        <v>106.82892220529862</v>
      </c>
      <c r="U35" s="13">
        <f>'TR TUSD'!$U$35*'TR TUSD'!$U$60</f>
        <v>0</v>
      </c>
      <c r="V35" s="13">
        <f>'TR TUSD'!$V$35*'TR TUSD'!$V$60</f>
        <v>0</v>
      </c>
      <c r="W35" s="13">
        <f>'TR TUSD'!$W$35*'TR TUSD'!$W$60</f>
        <v>0</v>
      </c>
      <c r="X35" s="13">
        <f>'TR TUSD'!$X$35*'TR TUSD'!$X$60</f>
        <v>0</v>
      </c>
      <c r="Y35" s="13">
        <f>'TR TUSD'!$Y$35*'TR TUSD'!$Y$60</f>
        <v>193.69483410350648</v>
      </c>
      <c r="Z35" s="13">
        <f>'TR TUSD'!$Z$35</f>
        <v>0</v>
      </c>
      <c r="AA35" s="13">
        <f>'TR TUSD'!$AA$35</f>
        <v>0</v>
      </c>
      <c r="AB35" s="13">
        <f>SUM($U$35:$AA$35)</f>
        <v>193.69483410350648</v>
      </c>
      <c r="AC35" s="13">
        <f>'TR TUSD'!$AC$35*'TR TUSD'!$AC$60</f>
        <v>917.50483553706783</v>
      </c>
      <c r="AD35" s="13">
        <f>SUM($AC$35:$AC$35)</f>
        <v>917.50483553706783</v>
      </c>
      <c r="AE35" s="13">
        <v>0</v>
      </c>
      <c r="AF35" s="13">
        <v>0</v>
      </c>
      <c r="AG35" s="13">
        <f>SUM($AE$35:$AF$35)</f>
        <v>0</v>
      </c>
      <c r="AH35" s="13">
        <f>'TR TUSD'!$AH$35*'TR TUSD'!$AH$60</f>
        <v>21.650685326441078</v>
      </c>
      <c r="AI35" s="13">
        <f>'TR TUSD'!$AI$35*'TR TUSD'!$AI$60</f>
        <v>0</v>
      </c>
      <c r="AJ35" s="13">
        <f ca="1">'TR TUSD'!$AJ$35*'TR TUSD'!$AJ$60</f>
        <v>0</v>
      </c>
      <c r="AK35" s="13">
        <f ca="1">'TR TUSD'!$AK$35*'TR TUSD'!$AK$60</f>
        <v>0</v>
      </c>
      <c r="AL35" s="13">
        <f ca="1">SUM($AH$35:$AK$35)</f>
        <v>21.650685326441078</v>
      </c>
      <c r="AM35" s="13">
        <f ca="1">SUMIF($L$4:$AL$4,"SUBTOTAL",$L$35:$AL$35)</f>
        <v>1239.6792771723142</v>
      </c>
      <c r="AP35" s="13">
        <f>IF((1 - CUSTOS!$M$29)&lt;&gt;0,1/(1 - CUSTOS!$M$29),1)</f>
        <v>1</v>
      </c>
    </row>
    <row r="36" spans="1:42" ht="11.25" customHeight="1" x14ac:dyDescent="0.3">
      <c r="A36" s="92"/>
      <c r="B36" s="92"/>
      <c r="C36" s="92"/>
      <c r="D36" s="92"/>
      <c r="E36" s="92"/>
      <c r="F36" s="92"/>
      <c r="G36" s="18" t="s">
        <v>71</v>
      </c>
      <c r="H36" s="18" t="s">
        <v>69</v>
      </c>
      <c r="I36" s="18">
        <f>'MERCADO TUSD'!$U$33</f>
        <v>0</v>
      </c>
      <c r="J36" s="15"/>
      <c r="L36" s="13">
        <f>'TR TUSD'!$L$36*'TR TUSD'!$L$60</f>
        <v>0</v>
      </c>
      <c r="M36" s="13">
        <f>'TR TUSD'!$M$36*'TR TUSD'!$M$60</f>
        <v>2.1629228538445284</v>
      </c>
      <c r="N36" s="13">
        <f ca="1">'TR TUSD'!$N$36*'TR TUSD'!$N$60</f>
        <v>0</v>
      </c>
      <c r="O36" s="13">
        <f>'TR TUSD'!$O$36*'TR TUSD'!$O$60</f>
        <v>0</v>
      </c>
      <c r="P36" s="13">
        <f>'TR TUSD'!$P$36*'TR TUSD'!$P$60</f>
        <v>0</v>
      </c>
      <c r="Q36" s="13">
        <f>'TR TUSD'!$Q$36*'TR TUSD'!$Q$60</f>
        <v>90.390041028898551</v>
      </c>
      <c r="R36" s="13">
        <f>'TR TUSD'!$R$36*'TR TUSD'!$R$60</f>
        <v>14.275958322555534</v>
      </c>
      <c r="S36" s="13">
        <f>'TR TUSD'!$S$36*'TR TUSD'!$S$60</f>
        <v>0</v>
      </c>
      <c r="T36" s="13">
        <f ca="1">SUM($L$36:$S$36)</f>
        <v>106.82892220529862</v>
      </c>
      <c r="U36" s="13">
        <f>'TR TUSD'!$U$36*'TR TUSD'!$U$60</f>
        <v>0</v>
      </c>
      <c r="V36" s="13">
        <f>'TR TUSD'!$V$36*'TR TUSD'!$V$60</f>
        <v>0</v>
      </c>
      <c r="W36" s="13">
        <f>'TR TUSD'!$W$36*'TR TUSD'!$W$60</f>
        <v>0</v>
      </c>
      <c r="X36" s="13">
        <f>'TR TUSD'!$X$36*'TR TUSD'!$X$60</f>
        <v>0</v>
      </c>
      <c r="Y36" s="13">
        <f>'TR TUSD'!$Y$36*'TR TUSD'!$Y$60</f>
        <v>64.60648193360403</v>
      </c>
      <c r="Z36" s="13">
        <f>'TR TUSD'!$Z$36</f>
        <v>0</v>
      </c>
      <c r="AA36" s="13">
        <f>'TR TUSD'!$AA$36</f>
        <v>0</v>
      </c>
      <c r="AB36" s="13">
        <f>SUM($U$36:$AA$36)</f>
        <v>64.60648193360403</v>
      </c>
      <c r="AC36" s="13">
        <f>'TR TUSD'!$AC$36*'TR TUSD'!$AC$60</f>
        <v>305.83460595519165</v>
      </c>
      <c r="AD36" s="13">
        <f>SUM($AC$36:$AC$36)</f>
        <v>305.83460595519165</v>
      </c>
      <c r="AE36" s="13">
        <v>0</v>
      </c>
      <c r="AF36" s="13">
        <v>0</v>
      </c>
      <c r="AG36" s="13">
        <f>SUM($AE$36:$AF$36)</f>
        <v>0</v>
      </c>
      <c r="AH36" s="13">
        <f>'TR TUSD'!$AH$36*'TR TUSD'!$AH$60</f>
        <v>21.650685326441078</v>
      </c>
      <c r="AI36" s="13">
        <f>'TR TUSD'!$AI$36*'TR TUSD'!$AI$60</f>
        <v>0</v>
      </c>
      <c r="AJ36" s="13">
        <f ca="1">'TR TUSD'!$AJ$36*'TR TUSD'!$AJ$60</f>
        <v>0</v>
      </c>
      <c r="AK36" s="13">
        <f ca="1">'TR TUSD'!$AK$36*'TR TUSD'!$AK$60</f>
        <v>0</v>
      </c>
      <c r="AL36" s="13">
        <f ca="1">SUM($AH$36:$AK$36)</f>
        <v>21.650685326441078</v>
      </c>
      <c r="AM36" s="13">
        <f ca="1">SUMIF($L$4:$AL$4,"SUBTOTAL",$L$36:$AL$36)</f>
        <v>498.92069542053537</v>
      </c>
      <c r="AP36" s="13">
        <f>IF((1 - CUSTOS!$M$29)&lt;&gt;0,1/(1 - CUSTOS!$M$29),1)</f>
        <v>1</v>
      </c>
    </row>
    <row r="37" spans="1:42" ht="11.25" customHeight="1" x14ac:dyDescent="0.3">
      <c r="A37" s="92"/>
      <c r="B37" s="17" t="s">
        <v>23</v>
      </c>
      <c r="C37" s="17" t="s">
        <v>43</v>
      </c>
      <c r="D37" s="17" t="s">
        <v>85</v>
      </c>
      <c r="E37" s="17" t="s">
        <v>25</v>
      </c>
      <c r="F37" s="17" t="s">
        <v>25</v>
      </c>
      <c r="G37" s="18" t="s">
        <v>75</v>
      </c>
      <c r="H37" s="18" t="s">
        <v>69</v>
      </c>
      <c r="I37" s="18">
        <f>'MERCADO TUSD'!$U$34</f>
        <v>0</v>
      </c>
      <c r="J37" s="15"/>
      <c r="L37" s="13">
        <f>'TR TUSD'!$L$37*'TR TUSD'!$L$60</f>
        <v>0</v>
      </c>
      <c r="M37" s="13">
        <f>'TR TUSD'!$M$37*'TR TUSD'!$M$60</f>
        <v>2.1629228538445284</v>
      </c>
      <c r="N37" s="13">
        <f ca="1">'TR TUSD'!$N$37*'TR TUSD'!$N$60</f>
        <v>0</v>
      </c>
      <c r="O37" s="13">
        <f>'TR TUSD'!$O$37*'TR TUSD'!$O$60</f>
        <v>0</v>
      </c>
      <c r="P37" s="13">
        <f>'TR TUSD'!$P$37*'TR TUSD'!$P$60</f>
        <v>0</v>
      </c>
      <c r="Q37" s="13">
        <f>'TR TUSD'!$Q$37*'TR TUSD'!$Q$60</f>
        <v>90.390041028898551</v>
      </c>
      <c r="R37" s="13">
        <f>'TR TUSD'!$R$37*'TR TUSD'!$R$60</f>
        <v>14.275958322555534</v>
      </c>
      <c r="S37" s="13">
        <f>'TR TUSD'!$S$37*'TR TUSD'!$S$60</f>
        <v>0</v>
      </c>
      <c r="T37" s="13">
        <f ca="1">SUM($L$37:$S$37)</f>
        <v>106.82892220529862</v>
      </c>
      <c r="U37" s="13">
        <f>'TR TUSD'!$U$37*'TR TUSD'!$U$60</f>
        <v>0</v>
      </c>
      <c r="V37" s="13">
        <f>'TR TUSD'!$V$37*'TR TUSD'!$V$60</f>
        <v>0</v>
      </c>
      <c r="W37" s="13">
        <f>'TR TUSD'!$W$37*'TR TUSD'!$W$60</f>
        <v>0</v>
      </c>
      <c r="X37" s="13">
        <f>'TR TUSD'!$X$37*'TR TUSD'!$X$60</f>
        <v>0</v>
      </c>
      <c r="Y37" s="13">
        <f>'TR TUSD'!$Y$37*'TR TUSD'!$Y$60</f>
        <v>109.48237123272102</v>
      </c>
      <c r="Z37" s="13">
        <f>'TR TUSD'!$Z$37</f>
        <v>0</v>
      </c>
      <c r="AA37" s="13">
        <f>'TR TUSD'!$AA$37</f>
        <v>0</v>
      </c>
      <c r="AB37" s="13">
        <f>SUM($U$37:$AA$37)</f>
        <v>109.48237123272102</v>
      </c>
      <c r="AC37" s="13">
        <f>'TR TUSD'!$AC$37*'TR TUSD'!$AC$60</f>
        <v>518.36410285402815</v>
      </c>
      <c r="AD37" s="13">
        <f>SUM($AC$37:$AC$37)</f>
        <v>518.36410285402815</v>
      </c>
      <c r="AE37" s="13">
        <v>0</v>
      </c>
      <c r="AF37" s="13">
        <v>0</v>
      </c>
      <c r="AG37" s="13">
        <f>SUM($AE$37:$AF$37)</f>
        <v>0</v>
      </c>
      <c r="AH37" s="13">
        <f>'TR TUSD'!$AH$37*'TR TUSD'!$AH$60</f>
        <v>21.650685326441078</v>
      </c>
      <c r="AI37" s="13">
        <f>'TR TUSD'!$AI$37*'TR TUSD'!$AI$60</f>
        <v>0</v>
      </c>
      <c r="AJ37" s="13">
        <f ca="1">'TR TUSD'!$AJ$37*'TR TUSD'!$AJ$60</f>
        <v>0</v>
      </c>
      <c r="AK37" s="13">
        <f ca="1">'TR TUSD'!$AK$37*'TR TUSD'!$AK$60</f>
        <v>0</v>
      </c>
      <c r="AL37" s="13">
        <f ca="1">SUM($AH$37:$AK$37)</f>
        <v>21.650685326441078</v>
      </c>
      <c r="AM37" s="13">
        <f ca="1">SUMIF($L$4:$AL$4,"SUBTOTAL",$L$37:$AL$37)</f>
        <v>756.32608161848884</v>
      </c>
      <c r="AP37" s="13">
        <f>IF((1 - CUSTOS!$M$29)&lt;&gt;0,1/(1 - CUSTOS!$M$29),1)</f>
        <v>1</v>
      </c>
    </row>
    <row r="38" spans="1:42" ht="11.25" customHeight="1" x14ac:dyDescent="0.3">
      <c r="A38" s="92"/>
      <c r="B38" s="92" t="s">
        <v>39</v>
      </c>
      <c r="C38" s="92" t="s">
        <v>43</v>
      </c>
      <c r="D38" s="92" t="s">
        <v>86</v>
      </c>
      <c r="E38" s="92" t="s">
        <v>25</v>
      </c>
      <c r="F38" s="92" t="s">
        <v>25</v>
      </c>
      <c r="G38" s="18" t="s">
        <v>70</v>
      </c>
      <c r="H38" s="18" t="s">
        <v>69</v>
      </c>
      <c r="I38" s="18">
        <f>'MERCADO TUSD'!$U$35</f>
        <v>0</v>
      </c>
      <c r="J38" s="15"/>
      <c r="L38" s="13">
        <f>'TR TUSD'!$L$38*'TR TUSD'!$L$60</f>
        <v>0</v>
      </c>
      <c r="M38" s="13">
        <f>'TR TUSD'!$M$38*'TR TUSD'!$M$60</f>
        <v>2.1629228538445284</v>
      </c>
      <c r="N38" s="13">
        <f ca="1">'TR TUSD'!$N$38*'TR TUSD'!$N$60</f>
        <v>0</v>
      </c>
      <c r="O38" s="13">
        <f>'TR TUSD'!$O$38*'TR TUSD'!$O$60</f>
        <v>0</v>
      </c>
      <c r="P38" s="13">
        <f>'TR TUSD'!$P$38*'TR TUSD'!$P$60</f>
        <v>0</v>
      </c>
      <c r="Q38" s="13">
        <f>'TR TUSD'!$Q$38*'TR TUSD'!$Q$60</f>
        <v>90.390041028898551</v>
      </c>
      <c r="R38" s="13">
        <f>'TR TUSD'!$R$38*'TR TUSD'!$R$60</f>
        <v>14.275958322555534</v>
      </c>
      <c r="S38" s="13">
        <f>'TR TUSD'!$S$38*'TR TUSD'!$S$60</f>
        <v>0</v>
      </c>
      <c r="T38" s="13">
        <f ca="1">SUM($L$38:$S$38)</f>
        <v>106.82892220529862</v>
      </c>
      <c r="U38" s="13">
        <f>'TR TUSD'!$U$38*'TR TUSD'!$U$60</f>
        <v>0</v>
      </c>
      <c r="V38" s="13">
        <f>'TR TUSD'!$V$38*'TR TUSD'!$V$60</f>
        <v>0</v>
      </c>
      <c r="W38" s="13">
        <f>'TR TUSD'!$W$38*'TR TUSD'!$W$60</f>
        <v>0</v>
      </c>
      <c r="X38" s="13">
        <f>'TR TUSD'!$X$38*'TR TUSD'!$X$60</f>
        <v>0</v>
      </c>
      <c r="Y38" s="13">
        <f>'TR TUSD'!$Y$38*'TR TUSD'!$Y$60</f>
        <v>322.9076961637723</v>
      </c>
      <c r="Z38" s="13">
        <f>'TR TUSD'!$Z$38</f>
        <v>0</v>
      </c>
      <c r="AA38" s="13">
        <f>'TR TUSD'!$AA$38</f>
        <v>0</v>
      </c>
      <c r="AB38" s="13">
        <f>SUM($U$38:$AA$38)</f>
        <v>322.9076961637723</v>
      </c>
      <c r="AC38" s="13">
        <f>'TR TUSD'!$AC$38*'TR TUSD'!$AC$60</f>
        <v>1529.1740474474509</v>
      </c>
      <c r="AD38" s="13">
        <f>SUM($AC$38:$AC$38)</f>
        <v>1529.1740474474509</v>
      </c>
      <c r="AE38" s="13">
        <v>0</v>
      </c>
      <c r="AF38" s="13">
        <v>0</v>
      </c>
      <c r="AG38" s="13">
        <f>SUM($AE$38:$AF$38)</f>
        <v>0</v>
      </c>
      <c r="AH38" s="13">
        <f>'TR TUSD'!$AH$38*'TR TUSD'!$AH$60</f>
        <v>21.650685326441078</v>
      </c>
      <c r="AI38" s="13">
        <f>'TR TUSD'!$AI$38*'TR TUSD'!$AI$60</f>
        <v>0</v>
      </c>
      <c r="AJ38" s="13">
        <f ca="1">'TR TUSD'!$AJ$38*'TR TUSD'!$AJ$60</f>
        <v>0</v>
      </c>
      <c r="AK38" s="13">
        <f ca="1">'TR TUSD'!$AK$38*'TR TUSD'!$AK$60</f>
        <v>0</v>
      </c>
      <c r="AL38" s="13">
        <f ca="1">SUM($AH$38:$AK$38)</f>
        <v>21.650685326441078</v>
      </c>
      <c r="AM38" s="13">
        <f ca="1">SUMIF($L$4:$AL$4,"SUBTOTAL",$L$38:$AL$38)</f>
        <v>1980.5613511429631</v>
      </c>
      <c r="AP38" s="13">
        <f>IF((1 - CUSTOS!$M$30)&lt;&gt;0,1/(1 - CUSTOS!$M$30),1)</f>
        <v>1</v>
      </c>
    </row>
    <row r="39" spans="1:42" ht="11.25" customHeight="1" x14ac:dyDescent="0.3">
      <c r="A39" s="92"/>
      <c r="B39" s="92"/>
      <c r="C39" s="92"/>
      <c r="D39" s="92"/>
      <c r="E39" s="92"/>
      <c r="F39" s="92"/>
      <c r="G39" s="18" t="s">
        <v>81</v>
      </c>
      <c r="H39" s="18" t="s">
        <v>69</v>
      </c>
      <c r="I39" s="18">
        <f>'MERCADO TUSD'!$U$36</f>
        <v>0</v>
      </c>
      <c r="J39" s="15"/>
      <c r="L39" s="13">
        <f>'TR TUSD'!$L$39*'TR TUSD'!$L$60</f>
        <v>0</v>
      </c>
      <c r="M39" s="13">
        <f>'TR TUSD'!$M$39*'TR TUSD'!$M$60</f>
        <v>2.1629228538445284</v>
      </c>
      <c r="N39" s="13">
        <f ca="1">'TR TUSD'!$N$39*'TR TUSD'!$N$60</f>
        <v>0</v>
      </c>
      <c r="O39" s="13">
        <f>'TR TUSD'!$O$39*'TR TUSD'!$O$60</f>
        <v>0</v>
      </c>
      <c r="P39" s="13">
        <f>'TR TUSD'!$P$39*'TR TUSD'!$P$60</f>
        <v>0</v>
      </c>
      <c r="Q39" s="13">
        <f>'TR TUSD'!$Q$39*'TR TUSD'!$Q$60</f>
        <v>90.390041028898551</v>
      </c>
      <c r="R39" s="13">
        <f>'TR TUSD'!$R$39*'TR TUSD'!$R$60</f>
        <v>14.275958322555534</v>
      </c>
      <c r="S39" s="13">
        <f>'TR TUSD'!$S$39*'TR TUSD'!$S$60</f>
        <v>0</v>
      </c>
      <c r="T39" s="13">
        <f ca="1">SUM($L$39:$S$39)</f>
        <v>106.82892220529862</v>
      </c>
      <c r="U39" s="13">
        <f>'TR TUSD'!$U$39*'TR TUSD'!$U$60</f>
        <v>0</v>
      </c>
      <c r="V39" s="13">
        <f>'TR TUSD'!$V$39*'TR TUSD'!$V$60</f>
        <v>0</v>
      </c>
      <c r="W39" s="13">
        <f>'TR TUSD'!$W$39*'TR TUSD'!$W$60</f>
        <v>0</v>
      </c>
      <c r="X39" s="13">
        <f>'TR TUSD'!$X$39*'TR TUSD'!$X$60</f>
        <v>0</v>
      </c>
      <c r="Y39" s="13">
        <f>'TR TUSD'!$Y$39*'TR TUSD'!$Y$60</f>
        <v>193.69483410350648</v>
      </c>
      <c r="Z39" s="13">
        <f>'TR TUSD'!$Z$39</f>
        <v>0</v>
      </c>
      <c r="AA39" s="13">
        <f>'TR TUSD'!$AA$39</f>
        <v>0</v>
      </c>
      <c r="AB39" s="13">
        <f>SUM($U$39:$AA$39)</f>
        <v>193.69483410350648</v>
      </c>
      <c r="AC39" s="13">
        <f>'TR TUSD'!$AC$39*'TR TUSD'!$AC$60</f>
        <v>917.50483553706783</v>
      </c>
      <c r="AD39" s="13">
        <f>SUM($AC$39:$AC$39)</f>
        <v>917.50483553706783</v>
      </c>
      <c r="AE39" s="13">
        <v>0</v>
      </c>
      <c r="AF39" s="13">
        <v>0</v>
      </c>
      <c r="AG39" s="13">
        <f>SUM($AE$39:$AF$39)</f>
        <v>0</v>
      </c>
      <c r="AH39" s="13">
        <f>'TR TUSD'!$AH$39*'TR TUSD'!$AH$60</f>
        <v>21.650685326441078</v>
      </c>
      <c r="AI39" s="13">
        <f>'TR TUSD'!$AI$39*'TR TUSD'!$AI$60</f>
        <v>0</v>
      </c>
      <c r="AJ39" s="13">
        <f ca="1">'TR TUSD'!$AJ$39*'TR TUSD'!$AJ$60</f>
        <v>0</v>
      </c>
      <c r="AK39" s="13">
        <f ca="1">'TR TUSD'!$AK$39*'TR TUSD'!$AK$60</f>
        <v>0</v>
      </c>
      <c r="AL39" s="13">
        <f ca="1">SUM($AH$39:$AK$39)</f>
        <v>21.650685326441078</v>
      </c>
      <c r="AM39" s="13">
        <f ca="1">SUMIF($L$4:$AL$4,"SUBTOTAL",$L$39:$AL$39)</f>
        <v>1239.6792771723142</v>
      </c>
      <c r="AP39" s="13">
        <f>IF((1 - CUSTOS!$M$30)&lt;&gt;0,1/(1 - CUSTOS!$M$30),1)</f>
        <v>1</v>
      </c>
    </row>
    <row r="40" spans="1:42" ht="11.25" customHeight="1" x14ac:dyDescent="0.3">
      <c r="A40" s="92"/>
      <c r="B40" s="92"/>
      <c r="C40" s="92"/>
      <c r="D40" s="92"/>
      <c r="E40" s="92"/>
      <c r="F40" s="92"/>
      <c r="G40" s="18" t="s">
        <v>71</v>
      </c>
      <c r="H40" s="18" t="s">
        <v>69</v>
      </c>
      <c r="I40" s="18">
        <f>'MERCADO TUSD'!$U$37</f>
        <v>0</v>
      </c>
      <c r="J40" s="15"/>
      <c r="L40" s="13">
        <f>'TR TUSD'!$L$40*'TR TUSD'!$L$60</f>
        <v>0</v>
      </c>
      <c r="M40" s="13">
        <f>'TR TUSD'!$M$40*'TR TUSD'!$M$60</f>
        <v>2.1629228538445284</v>
      </c>
      <c r="N40" s="13">
        <f ca="1">'TR TUSD'!$N$40*'TR TUSD'!$N$60</f>
        <v>0</v>
      </c>
      <c r="O40" s="13">
        <f>'TR TUSD'!$O$40*'TR TUSD'!$O$60</f>
        <v>0</v>
      </c>
      <c r="P40" s="13">
        <f>'TR TUSD'!$P$40*'TR TUSD'!$P$60</f>
        <v>0</v>
      </c>
      <c r="Q40" s="13">
        <f>'TR TUSD'!$Q$40*'TR TUSD'!$Q$60</f>
        <v>90.390041028898551</v>
      </c>
      <c r="R40" s="13">
        <f>'TR TUSD'!$R$40*'TR TUSD'!$R$60</f>
        <v>14.275958322555534</v>
      </c>
      <c r="S40" s="13">
        <f>'TR TUSD'!$S$40*'TR TUSD'!$S$60</f>
        <v>0</v>
      </c>
      <c r="T40" s="13">
        <f ca="1">SUM($L$40:$S$40)</f>
        <v>106.82892220529862</v>
      </c>
      <c r="U40" s="13">
        <f>'TR TUSD'!$U$40*'TR TUSD'!$U$60</f>
        <v>0</v>
      </c>
      <c r="V40" s="13">
        <f>'TR TUSD'!$V$40*'TR TUSD'!$V$60</f>
        <v>0</v>
      </c>
      <c r="W40" s="13">
        <f>'TR TUSD'!$W$40*'TR TUSD'!$W$60</f>
        <v>0</v>
      </c>
      <c r="X40" s="13">
        <f>'TR TUSD'!$X$40*'TR TUSD'!$X$60</f>
        <v>0</v>
      </c>
      <c r="Y40" s="13">
        <f>'TR TUSD'!$Y$40*'TR TUSD'!$Y$60</f>
        <v>64.60648193360403</v>
      </c>
      <c r="Z40" s="13">
        <f>'TR TUSD'!$Z$40</f>
        <v>0</v>
      </c>
      <c r="AA40" s="13">
        <f>'TR TUSD'!$AA$40</f>
        <v>0</v>
      </c>
      <c r="AB40" s="13">
        <f>SUM($U$40:$AA$40)</f>
        <v>64.60648193360403</v>
      </c>
      <c r="AC40" s="13">
        <f>'TR TUSD'!$AC$40*'TR TUSD'!$AC$60</f>
        <v>305.83460595519165</v>
      </c>
      <c r="AD40" s="13">
        <f>SUM($AC$40:$AC$40)</f>
        <v>305.83460595519165</v>
      </c>
      <c r="AE40" s="13">
        <v>0</v>
      </c>
      <c r="AF40" s="13">
        <v>0</v>
      </c>
      <c r="AG40" s="13">
        <f>SUM($AE$40:$AF$40)</f>
        <v>0</v>
      </c>
      <c r="AH40" s="13">
        <f>'TR TUSD'!$AH$40*'TR TUSD'!$AH$60</f>
        <v>21.650685326441078</v>
      </c>
      <c r="AI40" s="13">
        <f>'TR TUSD'!$AI$40*'TR TUSD'!$AI$60</f>
        <v>0</v>
      </c>
      <c r="AJ40" s="13">
        <f ca="1">'TR TUSD'!$AJ$40*'TR TUSD'!$AJ$60</f>
        <v>0</v>
      </c>
      <c r="AK40" s="13">
        <f ca="1">'TR TUSD'!$AK$40*'TR TUSD'!$AK$60</f>
        <v>0</v>
      </c>
      <c r="AL40" s="13">
        <f ca="1">SUM($AH$40:$AK$40)</f>
        <v>21.650685326441078</v>
      </c>
      <c r="AM40" s="13">
        <f ca="1">SUMIF($L$4:$AL$4,"SUBTOTAL",$L$40:$AL$40)</f>
        <v>498.92069542053537</v>
      </c>
      <c r="AP40" s="13">
        <f>IF((1 - CUSTOS!$M$30)&lt;&gt;0,1/(1 - CUSTOS!$M$30),1)</f>
        <v>1</v>
      </c>
    </row>
    <row r="41" spans="1:42" ht="11.25" customHeight="1" x14ac:dyDescent="0.3">
      <c r="A41" s="92"/>
      <c r="B41" s="17" t="s">
        <v>23</v>
      </c>
      <c r="C41" s="17" t="s">
        <v>43</v>
      </c>
      <c r="D41" s="17" t="s">
        <v>86</v>
      </c>
      <c r="E41" s="17" t="s">
        <v>25</v>
      </c>
      <c r="F41" s="17" t="s">
        <v>25</v>
      </c>
      <c r="G41" s="18" t="s">
        <v>75</v>
      </c>
      <c r="H41" s="18" t="s">
        <v>69</v>
      </c>
      <c r="I41" s="18">
        <f>'MERCADO TUSD'!$U$38</f>
        <v>0</v>
      </c>
      <c r="J41" s="15"/>
      <c r="L41" s="13">
        <f>'TR TUSD'!$L$41*'TR TUSD'!$L$60</f>
        <v>0</v>
      </c>
      <c r="M41" s="13">
        <f>'TR TUSD'!$M$41*'TR TUSD'!$M$60</f>
        <v>2.1629228538445284</v>
      </c>
      <c r="N41" s="13">
        <f ca="1">'TR TUSD'!$N$41*'TR TUSD'!$N$60</f>
        <v>0</v>
      </c>
      <c r="O41" s="13">
        <f>'TR TUSD'!$O$41*'TR TUSD'!$O$60</f>
        <v>0</v>
      </c>
      <c r="P41" s="13">
        <f>'TR TUSD'!$P$41*'TR TUSD'!$P$60</f>
        <v>0</v>
      </c>
      <c r="Q41" s="13">
        <f>'TR TUSD'!$Q$41*'TR TUSD'!$Q$60</f>
        <v>90.390041028898551</v>
      </c>
      <c r="R41" s="13">
        <f>'TR TUSD'!$R$41*'TR TUSD'!$R$60</f>
        <v>14.275958322555534</v>
      </c>
      <c r="S41" s="13">
        <f>'TR TUSD'!$S$41*'TR TUSD'!$S$60</f>
        <v>0</v>
      </c>
      <c r="T41" s="13">
        <f ca="1">SUM($L$41:$S$41)</f>
        <v>106.82892220529862</v>
      </c>
      <c r="U41" s="13">
        <f>'TR TUSD'!$U$41*'TR TUSD'!$U$60</f>
        <v>0</v>
      </c>
      <c r="V41" s="13">
        <f>'TR TUSD'!$V$41*'TR TUSD'!$V$60</f>
        <v>0</v>
      </c>
      <c r="W41" s="13">
        <f>'TR TUSD'!$W$41*'TR TUSD'!$W$60</f>
        <v>0</v>
      </c>
      <c r="X41" s="13">
        <f>'TR TUSD'!$X$41*'TR TUSD'!$X$60</f>
        <v>0</v>
      </c>
      <c r="Y41" s="13">
        <f>'TR TUSD'!$Y$41*'TR TUSD'!$Y$60</f>
        <v>109.48237123272102</v>
      </c>
      <c r="Z41" s="13">
        <f>'TR TUSD'!$Z$41</f>
        <v>0</v>
      </c>
      <c r="AA41" s="13">
        <f>'TR TUSD'!$AA$41</f>
        <v>0</v>
      </c>
      <c r="AB41" s="13">
        <f>SUM($U$41:$AA$41)</f>
        <v>109.48237123272102</v>
      </c>
      <c r="AC41" s="13">
        <f>'TR TUSD'!$AC$41*'TR TUSD'!$AC$60</f>
        <v>518.36410285402815</v>
      </c>
      <c r="AD41" s="13">
        <f>SUM($AC$41:$AC$41)</f>
        <v>518.36410285402815</v>
      </c>
      <c r="AE41" s="13">
        <v>0</v>
      </c>
      <c r="AF41" s="13">
        <v>0</v>
      </c>
      <c r="AG41" s="13">
        <f>SUM($AE$41:$AF$41)</f>
        <v>0</v>
      </c>
      <c r="AH41" s="13">
        <f>'TR TUSD'!$AH$41*'TR TUSD'!$AH$60</f>
        <v>21.650685326441078</v>
      </c>
      <c r="AI41" s="13">
        <f>'TR TUSD'!$AI$41*'TR TUSD'!$AI$60</f>
        <v>0</v>
      </c>
      <c r="AJ41" s="13">
        <f ca="1">'TR TUSD'!$AJ$41*'TR TUSD'!$AJ$60</f>
        <v>0</v>
      </c>
      <c r="AK41" s="13">
        <f ca="1">'TR TUSD'!$AK$41*'TR TUSD'!$AK$60</f>
        <v>0</v>
      </c>
      <c r="AL41" s="13">
        <f ca="1">SUM($AH$41:$AK$41)</f>
        <v>21.650685326441078</v>
      </c>
      <c r="AM41" s="13">
        <f ca="1">SUMIF($L$4:$AL$4,"SUBTOTAL",$L$41:$AL$41)</f>
        <v>756.32608161848884</v>
      </c>
      <c r="AP41" s="13">
        <f>IF((1 - CUSTOS!$M$30)&lt;&gt;0,1/(1 - CUSTOS!$M$30),1)</f>
        <v>1</v>
      </c>
    </row>
    <row r="42" spans="1:42" ht="11.25" customHeight="1" x14ac:dyDescent="0.3">
      <c r="A42" s="92"/>
      <c r="B42" s="92" t="s">
        <v>84</v>
      </c>
      <c r="C42" s="92" t="s">
        <v>43</v>
      </c>
      <c r="D42" s="17" t="s">
        <v>25</v>
      </c>
      <c r="E42" s="17" t="s">
        <v>25</v>
      </c>
      <c r="F42" s="17" t="s">
        <v>25</v>
      </c>
      <c r="G42" s="18" t="s">
        <v>75</v>
      </c>
      <c r="H42" s="18" t="s">
        <v>69</v>
      </c>
      <c r="I42" s="18">
        <f>'MERCADO TUSD'!$U$39</f>
        <v>0</v>
      </c>
      <c r="J42" s="15"/>
      <c r="L42" s="13">
        <f>'TR TUSD'!$L$42*'TR TUSD'!$L$60</f>
        <v>0</v>
      </c>
      <c r="M42" s="13">
        <f>'TR TUSD'!$M$42*'TR TUSD'!$M$60</f>
        <v>2.1629228538445284</v>
      </c>
      <c r="N42" s="13">
        <f ca="1">'TR TUSD'!$N$42*'TR TUSD'!$N$60</f>
        <v>0</v>
      </c>
      <c r="O42" s="13">
        <f>'TR TUSD'!$O$42*'TR TUSD'!$O$60</f>
        <v>0</v>
      </c>
      <c r="P42" s="13">
        <f>'TR TUSD'!$P$42*'TR TUSD'!$P$60</f>
        <v>0</v>
      </c>
      <c r="Q42" s="13">
        <f>'TR TUSD'!$Q$42*'TR TUSD'!$Q$60</f>
        <v>90.390041028898551</v>
      </c>
      <c r="R42" s="13">
        <f>'TR TUSD'!$R$42*'TR TUSD'!$R$60</f>
        <v>14.275958322555534</v>
      </c>
      <c r="S42" s="13">
        <f>'TR TUSD'!$S$42*'TR TUSD'!$S$60</f>
        <v>0</v>
      </c>
      <c r="T42" s="13">
        <f ca="1">SUM($L$42:$S$42)</f>
        <v>106.82892220529862</v>
      </c>
      <c r="U42" s="13">
        <f>'TR TUSD'!$U$42*'TR TUSD'!$U$60</f>
        <v>0</v>
      </c>
      <c r="V42" s="13">
        <f>'TR TUSD'!$V$42*'TR TUSD'!$V$60</f>
        <v>0</v>
      </c>
      <c r="W42" s="13">
        <f>'TR TUSD'!$W$42*'TR TUSD'!$W$60</f>
        <v>0</v>
      </c>
      <c r="X42" s="13">
        <f>'TR TUSD'!$X$42*'TR TUSD'!$X$60</f>
        <v>0</v>
      </c>
      <c r="Y42" s="13">
        <f>'TR TUSD'!$Y$42*'TR TUSD'!$Y$60</f>
        <v>109.48237123272102</v>
      </c>
      <c r="Z42" s="13">
        <f>'TR TUSD'!$Z$42</f>
        <v>0</v>
      </c>
      <c r="AA42" s="13">
        <f>'TR TUSD'!$AA$42</f>
        <v>0</v>
      </c>
      <c r="AB42" s="13">
        <f>SUM($U$42:$AA$42)</f>
        <v>109.48237123272102</v>
      </c>
      <c r="AC42" s="13">
        <f>'TR TUSD'!$AC$42*'TR TUSD'!$AC$60</f>
        <v>518.36410285402815</v>
      </c>
      <c r="AD42" s="13">
        <f>SUM($AC$42:$AC$42)</f>
        <v>518.36410285402815</v>
      </c>
      <c r="AE42" s="13">
        <v>0</v>
      </c>
      <c r="AF42" s="13">
        <v>0</v>
      </c>
      <c r="AG42" s="13">
        <f>SUM($AE$42:$AF$42)</f>
        <v>0</v>
      </c>
      <c r="AH42" s="13">
        <f>'TR TUSD'!$AH$42*'TR TUSD'!$AH$60</f>
        <v>21.650685326441078</v>
      </c>
      <c r="AI42" s="13">
        <f>'TR TUSD'!$AI$42*'TR TUSD'!$AI$60</f>
        <v>0</v>
      </c>
      <c r="AJ42" s="13">
        <f ca="1">'TR TUSD'!$AJ$42*'TR TUSD'!$AJ$60</f>
        <v>0</v>
      </c>
      <c r="AK42" s="13">
        <f ca="1">'TR TUSD'!$AK$42*'TR TUSD'!$AK$60</f>
        <v>0</v>
      </c>
      <c r="AL42" s="13">
        <f ca="1">SUM($AH$42:$AK$42)</f>
        <v>21.650685326441078</v>
      </c>
      <c r="AM42" s="13">
        <f ca="1">SUMIF($L$4:$AL$4,"SUBTOTAL",$L$42:$AL$42)</f>
        <v>756.32608161848884</v>
      </c>
      <c r="AP42" s="13">
        <f>IF((1 - CUSTOS!$M$28)&lt;&gt;0,1/(1 - CUSTOS!$M$28),1)</f>
        <v>1</v>
      </c>
    </row>
    <row r="43" spans="1:42" ht="11.25" customHeight="1" x14ac:dyDescent="0.3">
      <c r="A43" s="92"/>
      <c r="B43" s="92"/>
      <c r="C43" s="92"/>
      <c r="D43" s="17" t="s">
        <v>85</v>
      </c>
      <c r="E43" s="17" t="s">
        <v>25</v>
      </c>
      <c r="F43" s="17" t="s">
        <v>25</v>
      </c>
      <c r="G43" s="18" t="s">
        <v>75</v>
      </c>
      <c r="H43" s="18" t="s">
        <v>69</v>
      </c>
      <c r="I43" s="18">
        <f>'MERCADO TUSD'!$U$40</f>
        <v>0</v>
      </c>
      <c r="J43" s="15"/>
      <c r="L43" s="13">
        <f>'TR TUSD'!$L$43*'TR TUSD'!$L$60</f>
        <v>0</v>
      </c>
      <c r="M43" s="13">
        <f>'TR TUSD'!$M$43*'TR TUSD'!$M$60</f>
        <v>2.1629228538445284</v>
      </c>
      <c r="N43" s="13">
        <f ca="1">'TR TUSD'!$N$43*'TR TUSD'!$N$60</f>
        <v>0</v>
      </c>
      <c r="O43" s="13">
        <f>'TR TUSD'!$O$43*'TR TUSD'!$O$60</f>
        <v>0</v>
      </c>
      <c r="P43" s="13">
        <f>'TR TUSD'!$P$43*'TR TUSD'!$P$60</f>
        <v>0</v>
      </c>
      <c r="Q43" s="13">
        <f>'TR TUSD'!$Q$43*'TR TUSD'!$Q$60</f>
        <v>90.390041028898551</v>
      </c>
      <c r="R43" s="13">
        <f>'TR TUSD'!$R$43*'TR TUSD'!$R$60</f>
        <v>14.275958322555534</v>
      </c>
      <c r="S43" s="13">
        <f>'TR TUSD'!$S$43*'TR TUSD'!$S$60</f>
        <v>0</v>
      </c>
      <c r="T43" s="13">
        <f ca="1">SUM($L$43:$S$43)</f>
        <v>106.82892220529862</v>
      </c>
      <c r="U43" s="13">
        <f>'TR TUSD'!$U$43*'TR TUSD'!$U$60</f>
        <v>0</v>
      </c>
      <c r="V43" s="13">
        <f>'TR TUSD'!$V$43*'TR TUSD'!$V$60</f>
        <v>0</v>
      </c>
      <c r="W43" s="13">
        <f>'TR TUSD'!$W$43*'TR TUSD'!$W$60</f>
        <v>0</v>
      </c>
      <c r="X43" s="13">
        <f>'TR TUSD'!$X$43*'TR TUSD'!$X$60</f>
        <v>0</v>
      </c>
      <c r="Y43" s="13">
        <f>'TR TUSD'!$Y$43*'TR TUSD'!$Y$60</f>
        <v>109.48237123272102</v>
      </c>
      <c r="Z43" s="13">
        <f>'TR TUSD'!$Z$43</f>
        <v>0</v>
      </c>
      <c r="AA43" s="13">
        <f>'TR TUSD'!$AA$43</f>
        <v>0</v>
      </c>
      <c r="AB43" s="13">
        <f>SUM($U$43:$AA$43)</f>
        <v>109.48237123272102</v>
      </c>
      <c r="AC43" s="13">
        <f>'TR TUSD'!$AC$43*'TR TUSD'!$AC$60</f>
        <v>518.36410285402815</v>
      </c>
      <c r="AD43" s="13">
        <f>SUM($AC$43:$AC$43)</f>
        <v>518.36410285402815</v>
      </c>
      <c r="AE43" s="13">
        <v>0</v>
      </c>
      <c r="AF43" s="13">
        <v>0</v>
      </c>
      <c r="AG43" s="13">
        <f>SUM($AE$43:$AF$43)</f>
        <v>0</v>
      </c>
      <c r="AH43" s="13">
        <f>'TR TUSD'!$AH$43*'TR TUSD'!$AH$60</f>
        <v>21.650685326441078</v>
      </c>
      <c r="AI43" s="13">
        <f>'TR TUSD'!$AI$43*'TR TUSD'!$AI$60</f>
        <v>0</v>
      </c>
      <c r="AJ43" s="13">
        <f ca="1">'TR TUSD'!$AJ$43*'TR TUSD'!$AJ$60</f>
        <v>0</v>
      </c>
      <c r="AK43" s="13">
        <f ca="1">'TR TUSD'!$AK$43*'TR TUSD'!$AK$60</f>
        <v>0</v>
      </c>
      <c r="AL43" s="13">
        <f ca="1">SUM($AH$43:$AK$43)</f>
        <v>21.650685326441078</v>
      </c>
      <c r="AM43" s="13">
        <f ca="1">SUMIF($L$4:$AL$4,"SUBTOTAL",$L$43:$AL$43)</f>
        <v>756.32608161848884</v>
      </c>
      <c r="AP43" s="13">
        <f>IF((1 - CUSTOS!$M$29)&lt;&gt;0,1/(1 - CUSTOS!$M$29),1)</f>
        <v>1</v>
      </c>
    </row>
    <row r="44" spans="1:42" ht="11.25" customHeight="1" x14ac:dyDescent="0.3">
      <c r="A44" s="92"/>
      <c r="B44" s="92"/>
      <c r="C44" s="92"/>
      <c r="D44" s="17" t="s">
        <v>86</v>
      </c>
      <c r="E44" s="17" t="s">
        <v>25</v>
      </c>
      <c r="F44" s="17" t="s">
        <v>25</v>
      </c>
      <c r="G44" s="18" t="s">
        <v>75</v>
      </c>
      <c r="H44" s="18" t="s">
        <v>69</v>
      </c>
      <c r="I44" s="18">
        <f>'MERCADO TUSD'!$U$41</f>
        <v>0</v>
      </c>
      <c r="J44" s="15"/>
      <c r="L44" s="13">
        <f>'TR TUSD'!$L$44*'TR TUSD'!$L$60</f>
        <v>0</v>
      </c>
      <c r="M44" s="13">
        <f>'TR TUSD'!$M$44*'TR TUSD'!$M$60</f>
        <v>2.1629228538445284</v>
      </c>
      <c r="N44" s="13">
        <f ca="1">'TR TUSD'!$N$44*'TR TUSD'!$N$60</f>
        <v>0</v>
      </c>
      <c r="O44" s="13">
        <f>'TR TUSD'!$O$44*'TR TUSD'!$O$60</f>
        <v>0</v>
      </c>
      <c r="P44" s="13">
        <f>'TR TUSD'!$P$44*'TR TUSD'!$P$60</f>
        <v>0</v>
      </c>
      <c r="Q44" s="13">
        <f>'TR TUSD'!$Q$44*'TR TUSD'!$Q$60</f>
        <v>90.390041028898551</v>
      </c>
      <c r="R44" s="13">
        <f>'TR TUSD'!$R$44*'TR TUSD'!$R$60</f>
        <v>14.275958322555534</v>
      </c>
      <c r="S44" s="13">
        <f>'TR TUSD'!$S$44*'TR TUSD'!$S$60</f>
        <v>0</v>
      </c>
      <c r="T44" s="13">
        <f ca="1">SUM($L$44:$S$44)</f>
        <v>106.82892220529862</v>
      </c>
      <c r="U44" s="13">
        <f>'TR TUSD'!$U$44*'TR TUSD'!$U$60</f>
        <v>0</v>
      </c>
      <c r="V44" s="13">
        <f>'TR TUSD'!$V$44*'TR TUSD'!$V$60</f>
        <v>0</v>
      </c>
      <c r="W44" s="13">
        <f>'TR TUSD'!$W$44*'TR TUSD'!$W$60</f>
        <v>0</v>
      </c>
      <c r="X44" s="13">
        <f>'TR TUSD'!$X$44*'TR TUSD'!$X$60</f>
        <v>0</v>
      </c>
      <c r="Y44" s="13">
        <f>'TR TUSD'!$Y$44*'TR TUSD'!$Y$60</f>
        <v>109.48237123272102</v>
      </c>
      <c r="Z44" s="13">
        <f>'TR TUSD'!$Z$44</f>
        <v>0</v>
      </c>
      <c r="AA44" s="13">
        <f>'TR TUSD'!$AA$44</f>
        <v>0</v>
      </c>
      <c r="AB44" s="13">
        <f>SUM($U$44:$AA$44)</f>
        <v>109.48237123272102</v>
      </c>
      <c r="AC44" s="13">
        <f>'TR TUSD'!$AC$44*'TR TUSD'!$AC$60</f>
        <v>518.36410285402815</v>
      </c>
      <c r="AD44" s="13">
        <f>SUM($AC$44:$AC$44)</f>
        <v>518.36410285402815</v>
      </c>
      <c r="AE44" s="13">
        <v>0</v>
      </c>
      <c r="AF44" s="13">
        <v>0</v>
      </c>
      <c r="AG44" s="13">
        <f>SUM($AE$44:$AF$44)</f>
        <v>0</v>
      </c>
      <c r="AH44" s="13">
        <f>'TR TUSD'!$AH$44*'TR TUSD'!$AH$60</f>
        <v>21.650685326441078</v>
      </c>
      <c r="AI44" s="13">
        <f>'TR TUSD'!$AI$44*'TR TUSD'!$AI$60</f>
        <v>0</v>
      </c>
      <c r="AJ44" s="13">
        <f ca="1">'TR TUSD'!$AJ$44*'TR TUSD'!$AJ$60</f>
        <v>0</v>
      </c>
      <c r="AK44" s="13">
        <f ca="1">'TR TUSD'!$AK$44*'TR TUSD'!$AK$60</f>
        <v>0</v>
      </c>
      <c r="AL44" s="13">
        <f ca="1">SUM($AH$44:$AK$44)</f>
        <v>21.650685326441078</v>
      </c>
      <c r="AM44" s="13">
        <f ca="1">SUMIF($L$4:$AL$4,"SUBTOTAL",$L$44:$AL$44)</f>
        <v>756.32608161848884</v>
      </c>
      <c r="AP44" s="13">
        <f>IF((1 - CUSTOS!$M$30)&lt;&gt;0,1/(1 - CUSTOS!$M$30),1)</f>
        <v>1</v>
      </c>
    </row>
    <row r="45" spans="1:42" ht="11.25" customHeight="1" x14ac:dyDescent="0.3">
      <c r="A45" s="92" t="s">
        <v>33</v>
      </c>
      <c r="B45" s="92" t="s">
        <v>39</v>
      </c>
      <c r="C45" s="92" t="s">
        <v>25</v>
      </c>
      <c r="D45" s="92" t="s">
        <v>25</v>
      </c>
      <c r="E45" s="92" t="s">
        <v>25</v>
      </c>
      <c r="F45" s="92" t="s">
        <v>25</v>
      </c>
      <c r="G45" s="18" t="s">
        <v>70</v>
      </c>
      <c r="H45" s="18" t="s">
        <v>69</v>
      </c>
      <c r="I45" s="18">
        <f>'MERCADO TUSD'!$U$42</f>
        <v>1.0529999999999999</v>
      </c>
      <c r="J45" s="15"/>
      <c r="L45" s="13">
        <f>'TR TUSD'!$L$45*'TR TUSD'!$L$60</f>
        <v>0</v>
      </c>
      <c r="M45" s="13">
        <f>'TR TUSD'!$M$45*'TR TUSD'!$M$60</f>
        <v>2.1629228538445284</v>
      </c>
      <c r="N45" s="13">
        <f ca="1">'TR TUSD'!$N$45*'TR TUSD'!$N$60</f>
        <v>0</v>
      </c>
      <c r="O45" s="13">
        <f>'TR TUSD'!$O$45*'TR TUSD'!$O$60</f>
        <v>0</v>
      </c>
      <c r="P45" s="13">
        <f>'TR TUSD'!$P$45*'TR TUSD'!$P$60</f>
        <v>0</v>
      </c>
      <c r="Q45" s="13">
        <f>'TR TUSD'!$Q$45*'TR TUSD'!$Q$60</f>
        <v>90.390041028898551</v>
      </c>
      <c r="R45" s="13">
        <f>'TR TUSD'!$R$45*'TR TUSD'!$R$60</f>
        <v>14.275958322555534</v>
      </c>
      <c r="S45" s="13">
        <f>'TR TUSD'!$S$45*'TR TUSD'!$S$60</f>
        <v>0</v>
      </c>
      <c r="T45" s="13">
        <f ca="1">SUM($L$45:$S$45)</f>
        <v>106.82892220529862</v>
      </c>
      <c r="U45" s="13">
        <f>'TR TUSD'!$U$45*'TR TUSD'!$U$60</f>
        <v>0</v>
      </c>
      <c r="V45" s="13">
        <f>'TR TUSD'!$V$45*'TR TUSD'!$V$60</f>
        <v>0</v>
      </c>
      <c r="W45" s="13">
        <f>'TR TUSD'!$W$45*'TR TUSD'!$W$60</f>
        <v>0</v>
      </c>
      <c r="X45" s="13">
        <f>'TR TUSD'!$X$45*'TR TUSD'!$X$60</f>
        <v>0</v>
      </c>
      <c r="Y45" s="13">
        <f>'TR TUSD'!$Y$45*'TR TUSD'!$Y$60</f>
        <v>372.20271940483673</v>
      </c>
      <c r="Z45" s="13">
        <f>'TR TUSD'!$Z$45</f>
        <v>0</v>
      </c>
      <c r="AA45" s="13">
        <f>'TR TUSD'!$AA$45</f>
        <v>0</v>
      </c>
      <c r="AB45" s="13">
        <f>SUM($U$45:$AA$45)</f>
        <v>372.20271940483673</v>
      </c>
      <c r="AC45" s="13">
        <f>'TR TUSD'!$AC$45*'TR TUSD'!$AC$60</f>
        <v>1762.4378886434063</v>
      </c>
      <c r="AD45" s="13">
        <f>SUM($AC$45:$AC$45)</f>
        <v>1762.4378886434063</v>
      </c>
      <c r="AE45" s="13">
        <v>0</v>
      </c>
      <c r="AF45" s="13">
        <v>0</v>
      </c>
      <c r="AG45" s="13">
        <f>SUM($AE$45:$AF$45)</f>
        <v>0</v>
      </c>
      <c r="AH45" s="13">
        <f>'TR TUSD'!$AH$45*'TR TUSD'!$AH$60</f>
        <v>21.650685326441078</v>
      </c>
      <c r="AI45" s="13">
        <f>'TR TUSD'!$AI$45*'TR TUSD'!$AI$60</f>
        <v>0</v>
      </c>
      <c r="AJ45" s="13">
        <f ca="1">'TR TUSD'!$AJ$45*'TR TUSD'!$AJ$60</f>
        <v>0</v>
      </c>
      <c r="AK45" s="13">
        <f ca="1">'TR TUSD'!$AK$45*'TR TUSD'!$AK$60</f>
        <v>0</v>
      </c>
      <c r="AL45" s="13">
        <f ca="1">SUM($AH$45:$AK$45)</f>
        <v>21.650685326441078</v>
      </c>
      <c r="AM45" s="13">
        <f ca="1">SUMIF($L$4:$AL$4,"SUBTOTAL",$L$45:$AL$45)</f>
        <v>2263.1202155799824</v>
      </c>
      <c r="AP45" s="13">
        <f>IF((1 - CUSTOS!$M$31)&lt;&gt;0,1/(1 - CUSTOS!$M$31),1)</f>
        <v>1</v>
      </c>
    </row>
    <row r="46" spans="1:42" ht="11.25" customHeight="1" x14ac:dyDescent="0.3">
      <c r="A46" s="92"/>
      <c r="B46" s="92"/>
      <c r="C46" s="92"/>
      <c r="D46" s="92"/>
      <c r="E46" s="92"/>
      <c r="F46" s="92"/>
      <c r="G46" s="18" t="s">
        <v>81</v>
      </c>
      <c r="H46" s="18" t="s">
        <v>69</v>
      </c>
      <c r="I46" s="18">
        <f>'MERCADO TUSD'!$U$43</f>
        <v>2.1969999999999996</v>
      </c>
      <c r="J46" s="15"/>
      <c r="L46" s="13">
        <f>'TR TUSD'!$L$46*'TR TUSD'!$L$60</f>
        <v>0</v>
      </c>
      <c r="M46" s="13">
        <f>'TR TUSD'!$M$46*'TR TUSD'!$M$60</f>
        <v>2.1629228538445284</v>
      </c>
      <c r="N46" s="13">
        <f ca="1">'TR TUSD'!$N$46*'TR TUSD'!$N$60</f>
        <v>0</v>
      </c>
      <c r="O46" s="13">
        <f>'TR TUSD'!$O$46*'TR TUSD'!$O$60</f>
        <v>0</v>
      </c>
      <c r="P46" s="13">
        <f>'TR TUSD'!$P$46*'TR TUSD'!$P$60</f>
        <v>0</v>
      </c>
      <c r="Q46" s="13">
        <f>'TR TUSD'!$Q$46*'TR TUSD'!$Q$60</f>
        <v>90.390041028898551</v>
      </c>
      <c r="R46" s="13">
        <f>'TR TUSD'!$R$46*'TR TUSD'!$R$60</f>
        <v>14.275958322555534</v>
      </c>
      <c r="S46" s="13">
        <f>'TR TUSD'!$S$46*'TR TUSD'!$S$60</f>
        <v>0</v>
      </c>
      <c r="T46" s="13">
        <f ca="1">SUM($L$46:$S$46)</f>
        <v>106.82892220529862</v>
      </c>
      <c r="U46" s="13">
        <f>'TR TUSD'!$U$46*'TR TUSD'!$U$60</f>
        <v>0</v>
      </c>
      <c r="V46" s="13">
        <f>'TR TUSD'!$V$46*'TR TUSD'!$V$60</f>
        <v>0</v>
      </c>
      <c r="W46" s="13">
        <f>'TR TUSD'!$W$46*'TR TUSD'!$W$60</f>
        <v>0</v>
      </c>
      <c r="X46" s="13">
        <f>'TR TUSD'!$X$46*'TR TUSD'!$X$60</f>
        <v>0</v>
      </c>
      <c r="Y46" s="13">
        <f>'TR TUSD'!$Y$46*'TR TUSD'!$Y$60</f>
        <v>223.25936651702614</v>
      </c>
      <c r="Z46" s="13">
        <f>'TR TUSD'!$Z$46</f>
        <v>0</v>
      </c>
      <c r="AA46" s="13">
        <f>'TR TUSD'!$AA$46</f>
        <v>0</v>
      </c>
      <c r="AB46" s="13">
        <f>SUM($U$46:$AA$46)</f>
        <v>223.25936651702614</v>
      </c>
      <c r="AC46" s="13">
        <f>'TR TUSD'!$AC$46*'TR TUSD'!$AC$60</f>
        <v>1057.4626517723243</v>
      </c>
      <c r="AD46" s="13">
        <f>SUM($AC$46:$AC$46)</f>
        <v>1057.4626517723243</v>
      </c>
      <c r="AE46" s="13">
        <v>0</v>
      </c>
      <c r="AF46" s="13">
        <v>0</v>
      </c>
      <c r="AG46" s="13">
        <f>SUM($AE$46:$AF$46)</f>
        <v>0</v>
      </c>
      <c r="AH46" s="13">
        <f>'TR TUSD'!$AH$46*'TR TUSD'!$AH$60</f>
        <v>21.650685326441078</v>
      </c>
      <c r="AI46" s="13">
        <f>'TR TUSD'!$AI$46*'TR TUSD'!$AI$60</f>
        <v>0</v>
      </c>
      <c r="AJ46" s="13">
        <f ca="1">'TR TUSD'!$AJ$46*'TR TUSD'!$AJ$60</f>
        <v>0</v>
      </c>
      <c r="AK46" s="13">
        <f ca="1">'TR TUSD'!$AK$46*'TR TUSD'!$AK$60</f>
        <v>0</v>
      </c>
      <c r="AL46" s="13">
        <f ca="1">SUM($AH$46:$AK$46)</f>
        <v>21.650685326441078</v>
      </c>
      <c r="AM46" s="13">
        <f ca="1">SUMIF($L$4:$AL$4,"SUBTOTAL",$L$46:$AL$46)</f>
        <v>1409.2016258210901</v>
      </c>
      <c r="AP46" s="13">
        <f>IF((1 - CUSTOS!$M$31)&lt;&gt;0,1/(1 - CUSTOS!$M$31),1)</f>
        <v>1</v>
      </c>
    </row>
    <row r="47" spans="1:42" ht="11.25" customHeight="1" x14ac:dyDescent="0.3">
      <c r="A47" s="92"/>
      <c r="B47" s="92"/>
      <c r="C47" s="92"/>
      <c r="D47" s="92"/>
      <c r="E47" s="92"/>
      <c r="F47" s="92"/>
      <c r="G47" s="18" t="s">
        <v>71</v>
      </c>
      <c r="H47" s="18" t="s">
        <v>69</v>
      </c>
      <c r="I47" s="18">
        <f>'MERCADO TUSD'!$U$44</f>
        <v>373.07</v>
      </c>
      <c r="J47" s="15"/>
      <c r="L47" s="13">
        <f>'TR TUSD'!$L$47*'TR TUSD'!$L$60</f>
        <v>0</v>
      </c>
      <c r="M47" s="13">
        <f>'TR TUSD'!$M$47*'TR TUSD'!$M$60</f>
        <v>2.1629228538445284</v>
      </c>
      <c r="N47" s="13">
        <f ca="1">'TR TUSD'!$N$47*'TR TUSD'!$N$60</f>
        <v>0</v>
      </c>
      <c r="O47" s="13">
        <f>'TR TUSD'!$O$47*'TR TUSD'!$O$60</f>
        <v>0</v>
      </c>
      <c r="P47" s="13">
        <f>'TR TUSD'!$P$47*'TR TUSD'!$P$60</f>
        <v>0</v>
      </c>
      <c r="Q47" s="13">
        <f>'TR TUSD'!$Q$47*'TR TUSD'!$Q$60</f>
        <v>90.390041028898551</v>
      </c>
      <c r="R47" s="13">
        <f>'TR TUSD'!$R$47*'TR TUSD'!$R$60</f>
        <v>14.275958322555534</v>
      </c>
      <c r="S47" s="13">
        <f>'TR TUSD'!$S$47*'TR TUSD'!$S$60</f>
        <v>0</v>
      </c>
      <c r="T47" s="13">
        <f ca="1">SUM($L$47:$S$47)</f>
        <v>106.82892220529862</v>
      </c>
      <c r="U47" s="13">
        <f>'TR TUSD'!$U$47*'TR TUSD'!$U$60</f>
        <v>0</v>
      </c>
      <c r="V47" s="13">
        <f>'TR TUSD'!$V$47*'TR TUSD'!$V$60</f>
        <v>0</v>
      </c>
      <c r="W47" s="13">
        <f>'TR TUSD'!$W$47*'TR TUSD'!$W$60</f>
        <v>0</v>
      </c>
      <c r="X47" s="13">
        <f>'TR TUSD'!$X$47*'TR TUSD'!$X$60</f>
        <v>0</v>
      </c>
      <c r="Y47" s="13">
        <f>'TR TUSD'!$Y$47*'TR TUSD'!$Y$60</f>
        <v>74.440523519578889</v>
      </c>
      <c r="Z47" s="13">
        <f>'TR TUSD'!$Z$47</f>
        <v>0</v>
      </c>
      <c r="AA47" s="13">
        <f>'TR TUSD'!$AA$47</f>
        <v>0</v>
      </c>
      <c r="AB47" s="13">
        <f>SUM($U$47:$AA$47)</f>
        <v>74.440523519578889</v>
      </c>
      <c r="AC47" s="13">
        <f>'TR TUSD'!$AC$47*'TR TUSD'!$AC$60</f>
        <v>352.48792373698882</v>
      </c>
      <c r="AD47" s="13">
        <f>SUM($AC$47:$AC$47)</f>
        <v>352.48792373698882</v>
      </c>
      <c r="AE47" s="13">
        <v>0</v>
      </c>
      <c r="AF47" s="13">
        <v>0</v>
      </c>
      <c r="AG47" s="13">
        <f>SUM($AE$47:$AF$47)</f>
        <v>0</v>
      </c>
      <c r="AH47" s="13">
        <f>'TR TUSD'!$AH$47*'TR TUSD'!$AH$60</f>
        <v>21.650685326441078</v>
      </c>
      <c r="AI47" s="13">
        <f>'TR TUSD'!$AI$47*'TR TUSD'!$AI$60</f>
        <v>0</v>
      </c>
      <c r="AJ47" s="13">
        <f ca="1">'TR TUSD'!$AJ$47*'TR TUSD'!$AJ$60</f>
        <v>0</v>
      </c>
      <c r="AK47" s="13">
        <f ca="1">'TR TUSD'!$AK$47*'TR TUSD'!$AK$60</f>
        <v>0</v>
      </c>
      <c r="AL47" s="13">
        <f ca="1">SUM($AH$47:$AK$47)</f>
        <v>21.650685326441078</v>
      </c>
      <c r="AM47" s="13">
        <f ca="1">SUMIF($L$4:$AL$4,"SUBTOTAL",$L$47:$AL$47)</f>
        <v>555.40805478830748</v>
      </c>
      <c r="AP47" s="13">
        <f>IF((1 - CUSTOS!$M$31)&lt;&gt;0,1/(1 - CUSTOS!$M$31),1)</f>
        <v>1</v>
      </c>
    </row>
    <row r="48" spans="1:42" ht="11.25" customHeight="1" x14ac:dyDescent="0.3">
      <c r="A48" s="92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75</v>
      </c>
      <c r="H48" s="18" t="s">
        <v>69</v>
      </c>
      <c r="I48" s="18">
        <f>'MERCADO TUSD'!$U$45</f>
        <v>3199.5530000000003</v>
      </c>
      <c r="J48" s="15"/>
      <c r="L48" s="13">
        <f>'TR TUSD'!$L$48*'TR TUSD'!$L$60</f>
        <v>0</v>
      </c>
      <c r="M48" s="13">
        <f>'TR TUSD'!$M$48*'TR TUSD'!$M$60</f>
        <v>2.1629228538445284</v>
      </c>
      <c r="N48" s="13">
        <f ca="1">'TR TUSD'!$N$48*'TR TUSD'!$N$60</f>
        <v>0</v>
      </c>
      <c r="O48" s="13">
        <f>'TR TUSD'!$O$48*'TR TUSD'!$O$60</f>
        <v>0</v>
      </c>
      <c r="P48" s="13">
        <f>'TR TUSD'!$P$48*'TR TUSD'!$P$60</f>
        <v>0</v>
      </c>
      <c r="Q48" s="13">
        <f>'TR TUSD'!$Q$48*'TR TUSD'!$Q$60</f>
        <v>90.390041028898551</v>
      </c>
      <c r="R48" s="13">
        <f>'TR TUSD'!$R$48*'TR TUSD'!$R$60</f>
        <v>14.275958322555534</v>
      </c>
      <c r="S48" s="13">
        <f>'TR TUSD'!$S$48*'TR TUSD'!$S$60</f>
        <v>0</v>
      </c>
      <c r="T48" s="13">
        <f ca="1">SUM($L$48:$S$48)</f>
        <v>106.82892220529862</v>
      </c>
      <c r="U48" s="13">
        <f>'TR TUSD'!$U$48*'TR TUSD'!$U$60</f>
        <v>0</v>
      </c>
      <c r="V48" s="13">
        <f>'TR TUSD'!$V$48*'TR TUSD'!$V$60</f>
        <v>0</v>
      </c>
      <c r="W48" s="13">
        <f>'TR TUSD'!$W$48*'TR TUSD'!$W$60</f>
        <v>0</v>
      </c>
      <c r="X48" s="13">
        <f>'TR TUSD'!$X$48*'TR TUSD'!$X$60</f>
        <v>0</v>
      </c>
      <c r="Y48" s="13">
        <f>'TR TUSD'!$Y$48*'TR TUSD'!$Y$60</f>
        <v>109.48237123272102</v>
      </c>
      <c r="Z48" s="13">
        <f>'TR TUSD'!$Z$48</f>
        <v>0</v>
      </c>
      <c r="AA48" s="13">
        <f>'TR TUSD'!$AA$48</f>
        <v>0</v>
      </c>
      <c r="AB48" s="13">
        <f>SUM($U$48:$AA$48)</f>
        <v>109.48237123272102</v>
      </c>
      <c r="AC48" s="13">
        <f>'TR TUSD'!$AC$48*'TR TUSD'!$AC$60</f>
        <v>518.36410285402815</v>
      </c>
      <c r="AD48" s="13">
        <f>SUM($AC$48:$AC$48)</f>
        <v>518.36410285402815</v>
      </c>
      <c r="AE48" s="13">
        <v>0</v>
      </c>
      <c r="AF48" s="13">
        <v>0</v>
      </c>
      <c r="AG48" s="13">
        <f>SUM($AE$48:$AF$48)</f>
        <v>0</v>
      </c>
      <c r="AH48" s="13">
        <f>'TR TUSD'!$AH$48*'TR TUSD'!$AH$60</f>
        <v>21.650685326441078</v>
      </c>
      <c r="AI48" s="13">
        <f>'TR TUSD'!$AI$48*'TR TUSD'!$AI$60</f>
        <v>0</v>
      </c>
      <c r="AJ48" s="13">
        <f ca="1">'TR TUSD'!$AJ$48*'TR TUSD'!$AJ$60</f>
        <v>0</v>
      </c>
      <c r="AK48" s="13">
        <f ca="1">'TR TUSD'!$AK$48*'TR TUSD'!$AK$60</f>
        <v>0</v>
      </c>
      <c r="AL48" s="13">
        <f ca="1">SUM($AH$48:$AK$48)</f>
        <v>21.650685326441078</v>
      </c>
      <c r="AM48" s="13">
        <f ca="1">SUMIF($L$4:$AL$4,"SUBTOTAL",$L$48:$AL$48)</f>
        <v>756.32608161848884</v>
      </c>
      <c r="AP48" s="13">
        <f>IF((1 - CUSTOS!$M$31)&lt;&gt;0,1/(1 - CUSTOS!$M$31),1)</f>
        <v>1</v>
      </c>
    </row>
    <row r="49" spans="1:42" ht="11.25" customHeight="1" x14ac:dyDescent="0.3">
      <c r="A49" s="92"/>
      <c r="B49" s="17" t="s">
        <v>84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75</v>
      </c>
      <c r="H49" s="18" t="s">
        <v>69</v>
      </c>
      <c r="I49" s="18">
        <f>'MERCADO TUSD'!$U$46</f>
        <v>0</v>
      </c>
      <c r="J49" s="15"/>
      <c r="L49" s="13">
        <f>'TR TUSD'!$L$49*'TR TUSD'!$L$60</f>
        <v>0</v>
      </c>
      <c r="M49" s="13">
        <f>'TR TUSD'!$M$49*'TR TUSD'!$M$60</f>
        <v>2.1629228538445284</v>
      </c>
      <c r="N49" s="13">
        <f ca="1">'TR TUSD'!$N$49*'TR TUSD'!$N$60</f>
        <v>0</v>
      </c>
      <c r="O49" s="13">
        <f>'TR TUSD'!$O$49*'TR TUSD'!$O$60</f>
        <v>0</v>
      </c>
      <c r="P49" s="13">
        <f>'TR TUSD'!$P$49*'TR TUSD'!$P$60</f>
        <v>0</v>
      </c>
      <c r="Q49" s="13">
        <f>'TR TUSD'!$Q$49*'TR TUSD'!$Q$60</f>
        <v>90.390041028898551</v>
      </c>
      <c r="R49" s="13">
        <f>'TR TUSD'!$R$49*'TR TUSD'!$R$60</f>
        <v>14.275958322555534</v>
      </c>
      <c r="S49" s="13">
        <f>'TR TUSD'!$S$49*'TR TUSD'!$S$60</f>
        <v>0</v>
      </c>
      <c r="T49" s="13">
        <f ca="1">SUM($L$49:$S$49)</f>
        <v>106.82892220529862</v>
      </c>
      <c r="U49" s="13">
        <f>'TR TUSD'!$U$49*'TR TUSD'!$U$60</f>
        <v>0</v>
      </c>
      <c r="V49" s="13">
        <f>'TR TUSD'!$V$49*'TR TUSD'!$V$60</f>
        <v>0</v>
      </c>
      <c r="W49" s="13">
        <f>'TR TUSD'!$W$49*'TR TUSD'!$W$60</f>
        <v>0</v>
      </c>
      <c r="X49" s="13">
        <f>'TR TUSD'!$X$49*'TR TUSD'!$X$60</f>
        <v>0</v>
      </c>
      <c r="Y49" s="13">
        <f>'TR TUSD'!$Y$49*'TR TUSD'!$Y$60</f>
        <v>109.48237123272102</v>
      </c>
      <c r="Z49" s="13">
        <f>'TR TUSD'!$Z$49</f>
        <v>0</v>
      </c>
      <c r="AA49" s="13">
        <f>'TR TUSD'!$AA$49</f>
        <v>0</v>
      </c>
      <c r="AB49" s="13">
        <f>SUM($U$49:$AA$49)</f>
        <v>109.48237123272102</v>
      </c>
      <c r="AC49" s="13">
        <f>'TR TUSD'!$AC$49*'TR TUSD'!$AC$60</f>
        <v>518.36410285402815</v>
      </c>
      <c r="AD49" s="13">
        <f>SUM($AC$49:$AC$49)</f>
        <v>518.36410285402815</v>
      </c>
      <c r="AE49" s="13">
        <v>0</v>
      </c>
      <c r="AF49" s="13">
        <v>0</v>
      </c>
      <c r="AG49" s="13">
        <f>SUM($AE$49:$AF$49)</f>
        <v>0</v>
      </c>
      <c r="AH49" s="13">
        <f>'TR TUSD'!$AH$49*'TR TUSD'!$AH$60</f>
        <v>21.650685326441078</v>
      </c>
      <c r="AI49" s="13">
        <f>'TR TUSD'!$AI$49*'TR TUSD'!$AI$60</f>
        <v>0</v>
      </c>
      <c r="AJ49" s="13">
        <f ca="1">'TR TUSD'!$AJ$49*'TR TUSD'!$AJ$60</f>
        <v>0</v>
      </c>
      <c r="AK49" s="13">
        <f ca="1">'TR TUSD'!$AK$49*'TR TUSD'!$AK$60</f>
        <v>0</v>
      </c>
      <c r="AL49" s="13">
        <f ca="1">SUM($AH$49:$AK$49)</f>
        <v>21.650685326441078</v>
      </c>
      <c r="AM49" s="13">
        <f ca="1">SUMIF($L$4:$AL$4,"SUBTOTAL",$L$49:$AL$49)</f>
        <v>756.32608161848884</v>
      </c>
      <c r="AP49" s="13">
        <f>IF((1 - CUSTOS!$M$31)&lt;&gt;0,1/(1 - CUSTOS!$M$31),1)</f>
        <v>1</v>
      </c>
    </row>
    <row r="50" spans="1:42" ht="11.25" customHeight="1" x14ac:dyDescent="0.3">
      <c r="A50" s="92" t="s">
        <v>45</v>
      </c>
      <c r="B50" s="92" t="s">
        <v>23</v>
      </c>
      <c r="C50" s="92" t="s">
        <v>46</v>
      </c>
      <c r="D50" s="17" t="s">
        <v>47</v>
      </c>
      <c r="E50" s="17" t="s">
        <v>25</v>
      </c>
      <c r="F50" s="17" t="s">
        <v>25</v>
      </c>
      <c r="G50" s="18" t="s">
        <v>75</v>
      </c>
      <c r="H50" s="18" t="s">
        <v>69</v>
      </c>
      <c r="I50" s="18">
        <f>'MERCADO TUSD'!$U$47</f>
        <v>1010.7439999999999</v>
      </c>
      <c r="J50" s="15"/>
      <c r="L50" s="13">
        <f>'TR TUSD'!$L$50*'TR TUSD'!$L$60</f>
        <v>0</v>
      </c>
      <c r="M50" s="13">
        <f>'TR TUSD'!$M$50*'TR TUSD'!$M$60</f>
        <v>1.1896075696144908</v>
      </c>
      <c r="N50" s="13">
        <f ca="1">'TR TUSD'!$N$50*'TR TUSD'!$N$60</f>
        <v>0</v>
      </c>
      <c r="O50" s="13">
        <f>'TR TUSD'!$O$50*'TR TUSD'!$O$60</f>
        <v>0</v>
      </c>
      <c r="P50" s="13">
        <f>'TR TUSD'!$P$50*'TR TUSD'!$P$60</f>
        <v>0</v>
      </c>
      <c r="Q50" s="13">
        <f>'TR TUSD'!$Q$50*'TR TUSD'!$Q$60</f>
        <v>49.714522565894207</v>
      </c>
      <c r="R50" s="13">
        <f>'TR TUSD'!$R$50*'TR TUSD'!$R$60</f>
        <v>7.8517770774055444</v>
      </c>
      <c r="S50" s="13">
        <f>'TR TUSD'!$S$50*'TR TUSD'!$S$60</f>
        <v>0</v>
      </c>
      <c r="T50" s="13">
        <f ca="1">SUM($L$50:$S$50)</f>
        <v>58.755907212914238</v>
      </c>
      <c r="U50" s="13">
        <f>'TR TUSD'!$U$50*'TR TUSD'!$U$60</f>
        <v>0</v>
      </c>
      <c r="V50" s="13">
        <f>'TR TUSD'!$V$50*'TR TUSD'!$V$60</f>
        <v>0</v>
      </c>
      <c r="W50" s="13">
        <f>'TR TUSD'!$W$50*'TR TUSD'!$W$60</f>
        <v>0</v>
      </c>
      <c r="X50" s="13">
        <f>'TR TUSD'!$X$50*'TR TUSD'!$X$60</f>
        <v>0</v>
      </c>
      <c r="Y50" s="13">
        <f>'TR TUSD'!$Y$50*'TR TUSD'!$Y$60</f>
        <v>60.215304177996565</v>
      </c>
      <c r="Z50" s="13">
        <f>'TR TUSD'!$Z$50</f>
        <v>0</v>
      </c>
      <c r="AA50" s="13">
        <f>'TR TUSD'!$AA$50</f>
        <v>0</v>
      </c>
      <c r="AB50" s="13">
        <f>SUM($U$50:$AA$50)</f>
        <v>60.215304177996565</v>
      </c>
      <c r="AC50" s="13">
        <f>'TR TUSD'!$AC$50*'TR TUSD'!$AC$60</f>
        <v>285.10025656971555</v>
      </c>
      <c r="AD50" s="13">
        <f>SUM($AC$50:$AC$50)</f>
        <v>285.10025656971555</v>
      </c>
      <c r="AE50" s="13">
        <v>0</v>
      </c>
      <c r="AF50" s="13">
        <v>0</v>
      </c>
      <c r="AG50" s="13">
        <f>SUM($AE$50:$AF$50)</f>
        <v>0</v>
      </c>
      <c r="AH50" s="13">
        <f>'TR TUSD'!$AH$50*'TR TUSD'!$AH$60</f>
        <v>11.907876929542594</v>
      </c>
      <c r="AI50" s="13">
        <f>'TR TUSD'!$AI$50*'TR TUSD'!$AI$60</f>
        <v>0</v>
      </c>
      <c r="AJ50" s="13">
        <f ca="1">'TR TUSD'!$AJ$50*'TR TUSD'!$AJ$60</f>
        <v>0</v>
      </c>
      <c r="AK50" s="13">
        <f ca="1">'TR TUSD'!$AK$50*'TR TUSD'!$AK$60</f>
        <v>0</v>
      </c>
      <c r="AL50" s="13">
        <f ca="1">SUM($AH$50:$AK$50)</f>
        <v>11.907876929542594</v>
      </c>
      <c r="AM50" s="13">
        <f ca="1">SUMIF($L$4:$AL$4,"SUBTOTAL",$L$50:$AL$50)</f>
        <v>415.97934489016893</v>
      </c>
      <c r="AP50" s="13">
        <f>IF((1 - CUSTOS!$M$32)&lt;&gt;0,1/(1 - CUSTOS!$M$32),1)</f>
        <v>1.8181818181818181</v>
      </c>
    </row>
    <row r="51" spans="1:42" ht="11.25" customHeight="1" x14ac:dyDescent="0.3">
      <c r="A51" s="92"/>
      <c r="B51" s="92"/>
      <c r="C51" s="92"/>
      <c r="D51" s="18" t="s">
        <v>87</v>
      </c>
      <c r="E51" s="18" t="s">
        <v>25</v>
      </c>
      <c r="F51" s="18" t="s">
        <v>25</v>
      </c>
      <c r="G51" s="18" t="s">
        <v>75</v>
      </c>
      <c r="H51" s="18" t="s">
        <v>69</v>
      </c>
      <c r="I51" s="18">
        <f>'MERCADO TUSD'!$U$48</f>
        <v>0</v>
      </c>
      <c r="J51" s="15"/>
      <c r="L51" s="13">
        <f>'TR TUSD'!$L$51*'TR TUSD'!$L$60</f>
        <v>0</v>
      </c>
      <c r="M51" s="13">
        <f>'TR TUSD'!$M$51*'TR TUSD'!$M$60</f>
        <v>1.2977537123067169</v>
      </c>
      <c r="N51" s="13">
        <f ca="1">'TR TUSD'!$N$51*'TR TUSD'!$N$60</f>
        <v>0</v>
      </c>
      <c r="O51" s="13">
        <f>'TR TUSD'!$O$51*'TR TUSD'!$O$60</f>
        <v>0</v>
      </c>
      <c r="P51" s="13">
        <f>'TR TUSD'!$P$51*'TR TUSD'!$P$60</f>
        <v>0</v>
      </c>
      <c r="Q51" s="13">
        <f>'TR TUSD'!$Q$51*'TR TUSD'!$Q$60</f>
        <v>54.234024617339131</v>
      </c>
      <c r="R51" s="13">
        <f>'TR TUSD'!$R$51*'TR TUSD'!$R$60</f>
        <v>8.5655749935333194</v>
      </c>
      <c r="S51" s="13">
        <f>'TR TUSD'!$S$51*'TR TUSD'!$S$60</f>
        <v>0</v>
      </c>
      <c r="T51" s="13">
        <f ca="1">SUM($L$51:$S$51)</f>
        <v>64.097353323179163</v>
      </c>
      <c r="U51" s="13">
        <f>'TR TUSD'!$U$51*'TR TUSD'!$U$60</f>
        <v>0</v>
      </c>
      <c r="V51" s="13">
        <f>'TR TUSD'!$V$51*'TR TUSD'!$V$60</f>
        <v>0</v>
      </c>
      <c r="W51" s="13">
        <f>'TR TUSD'!$W$51*'TR TUSD'!$W$60</f>
        <v>0</v>
      </c>
      <c r="X51" s="13">
        <f>'TR TUSD'!$X$51*'TR TUSD'!$X$60</f>
        <v>0</v>
      </c>
      <c r="Y51" s="13">
        <f>'TR TUSD'!$Y$51*'TR TUSD'!$Y$60</f>
        <v>65.689422739632604</v>
      </c>
      <c r="Z51" s="13">
        <f>'TR TUSD'!$Z$51</f>
        <v>0</v>
      </c>
      <c r="AA51" s="13">
        <f>'TR TUSD'!$AA$51</f>
        <v>0</v>
      </c>
      <c r="AB51" s="13">
        <f>SUM($U$51:$AA$51)</f>
        <v>65.689422739632604</v>
      </c>
      <c r="AC51" s="13">
        <f>'TR TUSD'!$AC$51*'TR TUSD'!$AC$60</f>
        <v>311.01846171241692</v>
      </c>
      <c r="AD51" s="13">
        <f>SUM($AC$51:$AC$51)</f>
        <v>311.01846171241692</v>
      </c>
      <c r="AE51" s="13">
        <v>0</v>
      </c>
      <c r="AF51" s="13">
        <v>0</v>
      </c>
      <c r="AG51" s="13">
        <f>SUM($AE$51:$AF$51)</f>
        <v>0</v>
      </c>
      <c r="AH51" s="13">
        <f>'TR TUSD'!$AH$51*'TR TUSD'!$AH$60</f>
        <v>12.990411195864644</v>
      </c>
      <c r="AI51" s="13">
        <f>'TR TUSD'!$AI$51*'TR TUSD'!$AI$60</f>
        <v>0</v>
      </c>
      <c r="AJ51" s="13">
        <f ca="1">'TR TUSD'!$AJ$51*'TR TUSD'!$AJ$60</f>
        <v>0</v>
      </c>
      <c r="AK51" s="13">
        <f ca="1">'TR TUSD'!$AK$51*'TR TUSD'!$AK$60</f>
        <v>0</v>
      </c>
      <c r="AL51" s="13">
        <f ca="1">SUM($AH$51:$AK$51)</f>
        <v>12.990411195864644</v>
      </c>
      <c r="AM51" s="13">
        <f ca="1">SUMIF($L$4:$AL$4,"SUBTOTAL",$L$51:$AL$51)</f>
        <v>453.79564897109333</v>
      </c>
      <c r="AP51" s="13">
        <f>IF((1 - CUSTOS!$M$33)&lt;&gt;0,1/(1 - CUSTOS!$M$33),1)</f>
        <v>1.6666666666666667</v>
      </c>
    </row>
    <row r="53" spans="1:42" ht="11.25" customHeight="1" x14ac:dyDescent="0.3">
      <c r="K53" s="16" t="s">
        <v>533</v>
      </c>
      <c r="L53" s="13">
        <f>SUMPRODUCT($I$5:$I51,$L$5:$L51)</f>
        <v>0</v>
      </c>
      <c r="M53" s="13">
        <f>SUMPRODUCT($I$5:$I51,$M$5:$M51)</f>
        <v>60318.578824742057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3547574.1107399999</v>
      </c>
      <c r="R53" s="13">
        <f>SUMPRODUCT($I$5:$I51,$R$5:$R51)</f>
        <v>628596.92970000021</v>
      </c>
      <c r="S53" s="13">
        <f>SUMPRODUCT($I$5:$I51,$S$5:$S51)</f>
        <v>0</v>
      </c>
      <c r="T53" s="13">
        <f ca="1">SUMPRODUCT($I$5:$I51,$T$5:$T51)</f>
        <v>4236489.6192647424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4882651.6637400007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4882651.6637400007</v>
      </c>
      <c r="AC53" s="13">
        <f>SUMPRODUCT($I$5:$I51,$AC$5:$AC51)</f>
        <v>14343053.986877609</v>
      </c>
      <c r="AD53" s="13">
        <f>SUMPRODUCT($I$5:$I51,$AD$5:$AD51)</f>
        <v>14343053.986877609</v>
      </c>
      <c r="AE53" s="13">
        <f>SUMPRODUCT($I$5:$I51,$AE$5:$AE51)</f>
        <v>0</v>
      </c>
      <c r="AF53" s="13">
        <f>SUMPRODUCT($I$5:$I51,$AF$5:$AF51)</f>
        <v>0</v>
      </c>
      <c r="AG53" s="13">
        <f>SUMPRODUCT($I$5:$I51,$AG$5:$AG51)</f>
        <v>0</v>
      </c>
      <c r="AH53" s="13">
        <f>SUMPRODUCT($I$5:$I51,$AH$5:$AH51)</f>
        <v>637460.39136771415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637460.39136771415</v>
      </c>
      <c r="AM53" s="13">
        <f ca="1">SUMPRODUCT($I$5:$I51,$AM$5:$AM51)</f>
        <v>24099655.661250062</v>
      </c>
    </row>
    <row r="54" spans="1:42" ht="11.25" customHeight="1" x14ac:dyDescent="0.3">
      <c r="K54" s="16" t="s">
        <v>465</v>
      </c>
      <c r="L54" s="13">
        <f>'TR TUSD'!$L$56</f>
        <v>0</v>
      </c>
      <c r="M54" s="13">
        <f>'TR TUSD'!$M$56</f>
        <v>60318.578824742086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3547574.1107399999</v>
      </c>
      <c r="R54" s="13">
        <f>'TR TUSD'!$R$56</f>
        <v>628596.9297000001</v>
      </c>
      <c r="S54" s="13">
        <f>'TR TUSD'!$S$56</f>
        <v>0</v>
      </c>
      <c r="T54" s="13">
        <f>'TR TUSD'!$T$56</f>
        <v>4236489.6192647424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4882651.6637400007</v>
      </c>
      <c r="Z54" s="13">
        <f>'TR TUSD'!$Z$56</f>
        <v>0</v>
      </c>
      <c r="AA54" s="13">
        <f>'TR TUSD'!$AA$56</f>
        <v>0</v>
      </c>
      <c r="AB54" s="13">
        <f>'TR TUSD'!$AB$56</f>
        <v>4882651.6637400007</v>
      </c>
      <c r="AC54" s="13">
        <f>'TR TUSD'!$AC$56</f>
        <v>14343053.986877607</v>
      </c>
      <c r="AD54" s="13">
        <f>'TR TUSD'!$AD$56</f>
        <v>14343053.986877607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637460.39136771404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637460.39136771404</v>
      </c>
      <c r="AM54" s="13">
        <f>CUSTOS!$D$29</f>
        <v>24099655.661250066</v>
      </c>
    </row>
    <row r="55" spans="1:42" ht="11.25" customHeight="1" x14ac:dyDescent="0.3">
      <c r="K55" s="16" t="s">
        <v>466</v>
      </c>
      <c r="L55" s="13">
        <f>CUSTOS!$E$2</f>
        <v>0</v>
      </c>
      <c r="M55" s="13">
        <f>CUSTOS!$E$3</f>
        <v>-631.8579431823332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-29649.206855117383</v>
      </c>
      <c r="R55" s="13">
        <f>CUSTOS!$E$8</f>
        <v>-5292.8430167260067</v>
      </c>
      <c r="S55" s="13">
        <f>CUSTOS!$E$9</f>
        <v>0</v>
      </c>
      <c r="T55" s="13">
        <f>CUSTOS!$E$10</f>
        <v>-35573.907815025726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-142938.17947389829</v>
      </c>
      <c r="Z55" s="13">
        <f>CUSTOS!$E$16</f>
        <v>0</v>
      </c>
      <c r="AA55" s="13">
        <f>CUSTOS!$E$17</f>
        <v>0</v>
      </c>
      <c r="AB55" s="13">
        <f>CUSTOS!$E$18</f>
        <v>-142938.17947389829</v>
      </c>
      <c r="AC55" s="13">
        <f>CUSTOS!$E$19</f>
        <v>-2548674.1739379396</v>
      </c>
      <c r="AD55" s="13">
        <f>CUSTOS!$E$20</f>
        <v>-2548674.1739379396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-11659.138765059777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-11659.138765059777</v>
      </c>
      <c r="AM55" s="13">
        <f>CUSTOS!$E$29</f>
        <v>-2738845.3999919235</v>
      </c>
    </row>
    <row r="56" spans="1:42" ht="11.25" customHeight="1" x14ac:dyDescent="0.3">
      <c r="K56" s="16" t="s">
        <v>467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3">
      <c r="K57" s="16" t="s">
        <v>530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>
        <f>SUMIF($L$4:$AL$4,"SUBTOTAL",$L$57:$AL$57)</f>
        <v>0</v>
      </c>
    </row>
    <row r="58" spans="1:42" ht="11.25" customHeight="1" x14ac:dyDescent="0.3">
      <c r="K58" s="16" t="s">
        <v>534</v>
      </c>
      <c r="L58" s="13">
        <f t="shared" ref="L58:R58" si="0">IF((L53-(0))&lt;&gt;0,(L55)/(L53-(0)),0)</f>
        <v>0</v>
      </c>
      <c r="M58" s="13">
        <f t="shared" si="0"/>
        <v>-1.0475345332956545E-2</v>
      </c>
      <c r="N58" s="13">
        <f t="shared" ca="1" si="0"/>
        <v>0</v>
      </c>
      <c r="O58" s="13">
        <f t="shared" si="0"/>
        <v>0</v>
      </c>
      <c r="P58" s="13">
        <f t="shared" si="0"/>
        <v>0</v>
      </c>
      <c r="Q58" s="13">
        <f t="shared" si="0"/>
        <v>-8.3576004135774793E-3</v>
      </c>
      <c r="R58" s="13">
        <f t="shared" si="0"/>
        <v>-8.4200904691851299E-3</v>
      </c>
      <c r="S58" s="13">
        <f>IF((R53-(0)&lt;&gt;0),(S55)/(R53-(0)),0)</f>
        <v>0</v>
      </c>
      <c r="T58" s="13"/>
      <c r="U58" s="13">
        <f t="shared" ref="U58:AA58" si="1">IF((U53-(0))&lt;&gt;0,(U55)/(U53-(0)),0)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-2.9274703443499566E-2</v>
      </c>
      <c r="Z58" s="13">
        <f t="shared" si="1"/>
        <v>0</v>
      </c>
      <c r="AA58" s="13">
        <f t="shared" si="1"/>
        <v>0</v>
      </c>
      <c r="AB58" s="13"/>
      <c r="AC58" s="13">
        <f>IF((AC53-(0))&lt;&gt;0,(AC55)/(AC53-(0)),0)</f>
        <v>-0.17769396784462427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IF((AH53-(0))&lt;&gt;0,(AH55)/(AH53-(0)),0)</f>
        <v>-1.8289981499939646E-2</v>
      </c>
      <c r="AI58" s="13">
        <f>IF((AI53-(0))&lt;&gt;0,(AI55)/(AI53-(0)),0)</f>
        <v>0</v>
      </c>
      <c r="AJ58" s="13">
        <f ca="1">IF((AJ53-(0))&lt;&gt;0,(AJ55)/(AJ53-(0)),0)</f>
        <v>0</v>
      </c>
      <c r="AK58" s="13">
        <f ca="1">IF((AK53-(0))&lt;&gt;0,(AK55)/(AK53-(0)),0)</f>
        <v>0</v>
      </c>
      <c r="AL58" s="13"/>
      <c r="AM58" s="13"/>
    </row>
  </sheetData>
  <mergeCells count="73">
    <mergeCell ref="E45:E47"/>
    <mergeCell ref="F45:F47"/>
    <mergeCell ref="A50:A51"/>
    <mergeCell ref="B50:B51"/>
    <mergeCell ref="C50:C51"/>
    <mergeCell ref="D45:D47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E17:E19"/>
    <mergeCell ref="F17:F19"/>
    <mergeCell ref="B20:B24"/>
    <mergeCell ref="C20:C24"/>
    <mergeCell ref="B25:B29"/>
    <mergeCell ref="C25:C29"/>
    <mergeCell ref="A15:A16"/>
    <mergeCell ref="B15:B16"/>
    <mergeCell ref="C15:C16"/>
    <mergeCell ref="D15:D16"/>
    <mergeCell ref="A17:A29"/>
    <mergeCell ref="B17:B19"/>
    <mergeCell ref="C17:C19"/>
    <mergeCell ref="D17:D19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P1:AP4"/>
    <mergeCell ref="L2:AM2"/>
    <mergeCell ref="L3:T3"/>
    <mergeCell ref="U3:AB3"/>
    <mergeCell ref="AC3:AD3"/>
    <mergeCell ref="AE3:AG3"/>
    <mergeCell ref="AH3:AL3"/>
    <mergeCell ref="AM3:AM4"/>
    <mergeCell ref="D1:D4"/>
    <mergeCell ref="E1:E4"/>
    <mergeCell ref="F1:F4"/>
    <mergeCell ref="J1:J4"/>
    <mergeCell ref="L1:AM1"/>
    <mergeCell ref="G1:G4"/>
    <mergeCell ref="H1:H4"/>
    <mergeCell ref="I1:I4"/>
  </mergeCells>
  <conditionalFormatting sqref="L53">
    <cfRule type="cellIs" dxfId="858" priority="55" operator="notEqual">
      <formula>$L$54-$L$57</formula>
    </cfRule>
    <cfRule type="cellIs" dxfId="857" priority="56" operator="equal">
      <formula>$L$54-$L$57</formula>
    </cfRule>
  </conditionalFormatting>
  <conditionalFormatting sqref="M53">
    <cfRule type="cellIs" dxfId="856" priority="53" operator="notEqual">
      <formula>$M$54-$M$57</formula>
    </cfRule>
    <cfRule type="cellIs" dxfId="855" priority="54" operator="equal">
      <formula>$M$54-$M$57</formula>
    </cfRule>
  </conditionalFormatting>
  <conditionalFormatting sqref="N53">
    <cfRule type="cellIs" dxfId="854" priority="51" operator="notEqual">
      <formula>$N$54-$N$57</formula>
    </cfRule>
    <cfRule type="cellIs" dxfId="853" priority="52" operator="equal">
      <formula>$N$54-$N$57</formula>
    </cfRule>
  </conditionalFormatting>
  <conditionalFormatting sqref="O53">
    <cfRule type="cellIs" dxfId="852" priority="49" operator="notEqual">
      <formula>$O$54-$O$57</formula>
    </cfRule>
    <cfRule type="cellIs" dxfId="851" priority="50" operator="equal">
      <formula>$O$54-$O$57</formula>
    </cfRule>
  </conditionalFormatting>
  <conditionalFormatting sqref="P53">
    <cfRule type="cellIs" dxfId="850" priority="47" operator="notEqual">
      <formula>$P$54-$P$57</formula>
    </cfRule>
    <cfRule type="cellIs" dxfId="849" priority="48" operator="equal">
      <formula>$P$54-$P$57</formula>
    </cfRule>
  </conditionalFormatting>
  <conditionalFormatting sqref="Q53">
    <cfRule type="cellIs" dxfId="848" priority="45" operator="notEqual">
      <formula>$Q$54-$Q$57</formula>
    </cfRule>
    <cfRule type="cellIs" dxfId="847" priority="46" operator="equal">
      <formula>$Q$54-$Q$57</formula>
    </cfRule>
  </conditionalFormatting>
  <conditionalFormatting sqref="R53">
    <cfRule type="cellIs" dxfId="846" priority="43" operator="notEqual">
      <formula>$R$54-$R$57</formula>
    </cfRule>
    <cfRule type="cellIs" dxfId="845" priority="44" operator="equal">
      <formula>$R$54-$R$57</formula>
    </cfRule>
  </conditionalFormatting>
  <conditionalFormatting sqref="S53">
    <cfRule type="cellIs" dxfId="844" priority="41" operator="notEqual">
      <formula>$S$54-$S$57</formula>
    </cfRule>
    <cfRule type="cellIs" dxfId="843" priority="42" operator="equal">
      <formula>$S$54-$S$57</formula>
    </cfRule>
  </conditionalFormatting>
  <conditionalFormatting sqref="T53">
    <cfRule type="cellIs" dxfId="842" priority="39" operator="notEqual">
      <formula>$T$54-$T$57</formula>
    </cfRule>
    <cfRule type="cellIs" dxfId="841" priority="40" operator="equal">
      <formula>$T$54-$T$57</formula>
    </cfRule>
  </conditionalFormatting>
  <conditionalFormatting sqref="U53">
    <cfRule type="cellIs" dxfId="840" priority="37" operator="notEqual">
      <formula>$U$54-$U$57</formula>
    </cfRule>
    <cfRule type="cellIs" dxfId="839" priority="38" operator="equal">
      <formula>$U$54-$U$57</formula>
    </cfRule>
  </conditionalFormatting>
  <conditionalFormatting sqref="V53">
    <cfRule type="cellIs" dxfId="838" priority="35" operator="notEqual">
      <formula>$V$54-$V$57</formula>
    </cfRule>
    <cfRule type="cellIs" dxfId="837" priority="36" operator="equal">
      <formula>$V$54-$V$57</formula>
    </cfRule>
  </conditionalFormatting>
  <conditionalFormatting sqref="W53">
    <cfRule type="cellIs" dxfId="836" priority="33" operator="notEqual">
      <formula>$W$54-$W$57</formula>
    </cfRule>
    <cfRule type="cellIs" dxfId="835" priority="34" operator="equal">
      <formula>$W$54-$W$57</formula>
    </cfRule>
  </conditionalFormatting>
  <conditionalFormatting sqref="X53">
    <cfRule type="cellIs" dxfId="834" priority="31" operator="notEqual">
      <formula>$X$54-$X$57</formula>
    </cfRule>
    <cfRule type="cellIs" dxfId="833" priority="32" operator="equal">
      <formula>$X$54-$X$57</formula>
    </cfRule>
  </conditionalFormatting>
  <conditionalFormatting sqref="Y53">
    <cfRule type="cellIs" dxfId="832" priority="29" operator="notEqual">
      <formula>$Y$54-$Y$57</formula>
    </cfRule>
    <cfRule type="cellIs" dxfId="831" priority="30" operator="equal">
      <formula>$Y$54-$Y$57</formula>
    </cfRule>
  </conditionalFormatting>
  <conditionalFormatting sqref="Z53">
    <cfRule type="cellIs" dxfId="830" priority="27" operator="notEqual">
      <formula>$Z$54-$Z$57</formula>
    </cfRule>
    <cfRule type="cellIs" dxfId="829" priority="28" operator="equal">
      <formula>$Z$54-$Z$57</formula>
    </cfRule>
  </conditionalFormatting>
  <conditionalFormatting sqref="AA53">
    <cfRule type="cellIs" dxfId="828" priority="25" operator="notEqual">
      <formula>$AA$54-$AA$57</formula>
    </cfRule>
    <cfRule type="cellIs" dxfId="827" priority="26" operator="equal">
      <formula>$AA$54-$AA$57</formula>
    </cfRule>
  </conditionalFormatting>
  <conditionalFormatting sqref="AB53">
    <cfRule type="cellIs" dxfId="826" priority="23" operator="notEqual">
      <formula>$AB$54-$AB$57</formula>
    </cfRule>
    <cfRule type="cellIs" dxfId="825" priority="24" operator="equal">
      <formula>$AB$54-$AB$57</formula>
    </cfRule>
  </conditionalFormatting>
  <conditionalFormatting sqref="AC53">
    <cfRule type="cellIs" dxfId="824" priority="21" operator="notEqual">
      <formula>$AC$54-$AC$57</formula>
    </cfRule>
    <cfRule type="cellIs" dxfId="823" priority="22" operator="equal">
      <formula>$AC$54-$AC$57</formula>
    </cfRule>
  </conditionalFormatting>
  <conditionalFormatting sqref="AD53">
    <cfRule type="cellIs" dxfId="822" priority="19" operator="notEqual">
      <formula>$AD$54-$AD$57</formula>
    </cfRule>
    <cfRule type="cellIs" dxfId="821" priority="20" operator="equal">
      <formula>$AD$54-$AD$57</formula>
    </cfRule>
  </conditionalFormatting>
  <conditionalFormatting sqref="AE53">
    <cfRule type="cellIs" dxfId="820" priority="17" operator="notEqual">
      <formula>$AE$54-$AE$57</formula>
    </cfRule>
    <cfRule type="cellIs" dxfId="819" priority="18" operator="equal">
      <formula>$AE$54-$AE$57</formula>
    </cfRule>
  </conditionalFormatting>
  <conditionalFormatting sqref="AF53">
    <cfRule type="cellIs" dxfId="818" priority="16" operator="equal">
      <formula>$AF$54-$AF$57</formula>
    </cfRule>
  </conditionalFormatting>
  <conditionalFormatting sqref="AF53">
    <cfRule type="cellIs" dxfId="817" priority="15" operator="notEqual">
      <formula>$AF$54-$AF$57</formula>
    </cfRule>
  </conditionalFormatting>
  <conditionalFormatting sqref="AG53">
    <cfRule type="cellIs" dxfId="816" priority="14" operator="equal">
      <formula>$AG$54-$AG$57</formula>
    </cfRule>
  </conditionalFormatting>
  <conditionalFormatting sqref="AG53">
    <cfRule type="cellIs" dxfId="815" priority="13" operator="notEqual">
      <formula>$AG$54-$AG$57</formula>
    </cfRule>
  </conditionalFormatting>
  <conditionalFormatting sqref="AH53">
    <cfRule type="cellIs" dxfId="814" priority="12" operator="equal">
      <formula>$AH$54-$AH$57</formula>
    </cfRule>
  </conditionalFormatting>
  <conditionalFormatting sqref="AH53">
    <cfRule type="cellIs" dxfId="813" priority="11" operator="notEqual">
      <formula>$AH$54-$AH$57</formula>
    </cfRule>
  </conditionalFormatting>
  <conditionalFormatting sqref="AI53">
    <cfRule type="cellIs" dxfId="812" priority="10" operator="equal">
      <formula>$AI$54-$AI$57</formula>
    </cfRule>
  </conditionalFormatting>
  <conditionalFormatting sqref="AI53">
    <cfRule type="cellIs" dxfId="811" priority="9" operator="notEqual">
      <formula>$AI$54-$AI$57</formula>
    </cfRule>
  </conditionalFormatting>
  <conditionalFormatting sqref="AJ53">
    <cfRule type="cellIs" dxfId="810" priority="8" operator="equal">
      <formula>$AJ$54-$AJ$57</formula>
    </cfRule>
  </conditionalFormatting>
  <conditionalFormatting sqref="AJ53">
    <cfRule type="cellIs" dxfId="809" priority="7" operator="notEqual">
      <formula>$AJ$54-$AJ$57</formula>
    </cfRule>
  </conditionalFormatting>
  <conditionalFormatting sqref="AK53">
    <cfRule type="cellIs" dxfId="808" priority="6" operator="equal">
      <formula>$AK$54-$AK$57</formula>
    </cfRule>
  </conditionalFormatting>
  <conditionalFormatting sqref="AK53">
    <cfRule type="cellIs" dxfId="807" priority="5" operator="notEqual">
      <formula>$AK$54-$AK$57</formula>
    </cfRule>
  </conditionalFormatting>
  <conditionalFormatting sqref="AL53">
    <cfRule type="cellIs" dxfId="806" priority="4" operator="equal">
      <formula>$AL$54-$AL$57</formula>
    </cfRule>
  </conditionalFormatting>
  <conditionalFormatting sqref="AL53">
    <cfRule type="cellIs" dxfId="805" priority="3" operator="notEqual">
      <formula>$AL$54-$AL$57</formula>
    </cfRule>
  </conditionalFormatting>
  <conditionalFormatting sqref="AM53">
    <cfRule type="cellIs" dxfId="804" priority="2" operator="equal">
      <formula>$AM$54-$AM$57</formula>
    </cfRule>
  </conditionalFormatting>
  <conditionalFormatting sqref="AM53">
    <cfRule type="cellIs" dxfId="803" priority="1" operator="notEqual">
      <formula>$AM$54-$AM$57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ECED-290C-4D3F-8585-54F07787675D}">
  <sheetPr codeName="Planilha10"/>
  <dimension ref="A1:AP58"/>
  <sheetViews>
    <sheetView showGridLines="0" topLeftCell="Z35" workbookViewId="0">
      <selection activeCell="AO53" sqref="AO53:AP55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8.664062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7.88671875" style="9" bestFit="1" customWidth="1"/>
    <col min="14" max="15" width="4.109375" style="9" bestFit="1" customWidth="1"/>
    <col min="16" max="16" width="4.44140625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10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.88671875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0" width="9.109375" style="9"/>
    <col min="41" max="42" width="10.88671875" style="9" bestFit="1" customWidth="1"/>
    <col min="43" max="16384" width="9.109375" style="9"/>
  </cols>
  <sheetData>
    <row r="1" spans="1:42" ht="11.25" customHeight="1" x14ac:dyDescent="0.3">
      <c r="A1" s="88" t="s">
        <v>59</v>
      </c>
      <c r="B1" s="88" t="s">
        <v>60</v>
      </c>
      <c r="C1" s="88" t="s">
        <v>61</v>
      </c>
      <c r="D1" s="88" t="s">
        <v>62</v>
      </c>
      <c r="E1" s="88" t="s">
        <v>63</v>
      </c>
      <c r="F1" s="88" t="s">
        <v>15</v>
      </c>
      <c r="G1" s="88" t="s">
        <v>65</v>
      </c>
      <c r="H1" s="88" t="s">
        <v>66</v>
      </c>
      <c r="I1" s="88" t="s">
        <v>524</v>
      </c>
      <c r="J1" s="86"/>
      <c r="L1" s="89" t="s">
        <v>541</v>
      </c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O1" s="20"/>
      <c r="AP1" s="93" t="s">
        <v>526</v>
      </c>
    </row>
    <row r="2" spans="1:42" ht="11.25" customHeight="1" x14ac:dyDescent="0.3">
      <c r="A2" s="88"/>
      <c r="B2" s="88"/>
      <c r="C2" s="88"/>
      <c r="D2" s="88"/>
      <c r="E2" s="88"/>
      <c r="F2" s="88"/>
      <c r="G2" s="88"/>
      <c r="H2" s="88"/>
      <c r="I2" s="88"/>
      <c r="J2" s="86"/>
      <c r="L2" s="89" t="s">
        <v>423</v>
      </c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O2" s="20"/>
      <c r="AP2" s="94"/>
    </row>
    <row r="3" spans="1:42" ht="11.2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6"/>
      <c r="L3" s="89" t="s">
        <v>424</v>
      </c>
      <c r="M3" s="89"/>
      <c r="N3" s="89"/>
      <c r="O3" s="89"/>
      <c r="P3" s="89"/>
      <c r="Q3" s="89"/>
      <c r="R3" s="89"/>
      <c r="S3" s="89"/>
      <c r="T3" s="89"/>
      <c r="U3" s="89" t="s">
        <v>433</v>
      </c>
      <c r="V3" s="89"/>
      <c r="W3" s="89"/>
      <c r="X3" s="89"/>
      <c r="Y3" s="89"/>
      <c r="Z3" s="89"/>
      <c r="AA3" s="89"/>
      <c r="AB3" s="89"/>
      <c r="AC3" s="89" t="s">
        <v>441</v>
      </c>
      <c r="AD3" s="89"/>
      <c r="AE3" s="89" t="s">
        <v>443</v>
      </c>
      <c r="AF3" s="89"/>
      <c r="AG3" s="89"/>
      <c r="AH3" s="89" t="s">
        <v>446</v>
      </c>
      <c r="AI3" s="89"/>
      <c r="AJ3" s="89"/>
      <c r="AK3" s="89"/>
      <c r="AL3" s="89"/>
      <c r="AM3" s="89" t="s">
        <v>432</v>
      </c>
      <c r="AO3" s="20"/>
      <c r="AP3" s="94"/>
    </row>
    <row r="4" spans="1:42" ht="11.25" customHeight="1" x14ac:dyDescent="0.3">
      <c r="A4" s="88"/>
      <c r="B4" s="88"/>
      <c r="C4" s="88"/>
      <c r="D4" s="88"/>
      <c r="E4" s="88"/>
      <c r="F4" s="88"/>
      <c r="G4" s="88"/>
      <c r="H4" s="88"/>
      <c r="I4" s="88"/>
      <c r="J4" s="86"/>
      <c r="L4" s="10" t="s">
        <v>509</v>
      </c>
      <c r="M4" s="10" t="s">
        <v>425</v>
      </c>
      <c r="N4" s="10" t="s">
        <v>426</v>
      </c>
      <c r="O4" s="10" t="s">
        <v>427</v>
      </c>
      <c r="P4" s="10" t="s">
        <v>428</v>
      </c>
      <c r="Q4" s="10" t="s">
        <v>429</v>
      </c>
      <c r="R4" s="10" t="s">
        <v>430</v>
      </c>
      <c r="S4" s="10" t="s">
        <v>431</v>
      </c>
      <c r="T4" s="10" t="s">
        <v>432</v>
      </c>
      <c r="U4" s="10" t="s">
        <v>434</v>
      </c>
      <c r="V4" s="10" t="s">
        <v>435</v>
      </c>
      <c r="W4" s="10" t="s">
        <v>436</v>
      </c>
      <c r="X4" s="10" t="s">
        <v>437</v>
      </c>
      <c r="Y4" s="10" t="s">
        <v>438</v>
      </c>
      <c r="Z4" s="10" t="s">
        <v>439</v>
      </c>
      <c r="AA4" s="10" t="s">
        <v>440</v>
      </c>
      <c r="AB4" s="10" t="s">
        <v>432</v>
      </c>
      <c r="AC4" s="10" t="s">
        <v>442</v>
      </c>
      <c r="AD4" s="10" t="s">
        <v>432</v>
      </c>
      <c r="AE4" s="10" t="s">
        <v>444</v>
      </c>
      <c r="AF4" s="10" t="s">
        <v>445</v>
      </c>
      <c r="AG4" s="10" t="s">
        <v>432</v>
      </c>
      <c r="AH4" s="10" t="s">
        <v>447</v>
      </c>
      <c r="AI4" s="10" t="s">
        <v>448</v>
      </c>
      <c r="AJ4" s="10" t="s">
        <v>449</v>
      </c>
      <c r="AK4" s="10" t="s">
        <v>450</v>
      </c>
      <c r="AL4" s="10" t="s">
        <v>432</v>
      </c>
      <c r="AM4" s="91"/>
      <c r="AO4" s="21" t="s">
        <v>543</v>
      </c>
      <c r="AP4" s="95"/>
    </row>
    <row r="5" spans="1:42" ht="11.25" customHeight="1" x14ac:dyDescent="0.3">
      <c r="A5" s="92" t="s">
        <v>35</v>
      </c>
      <c r="B5" s="92" t="s">
        <v>50</v>
      </c>
      <c r="C5" s="92" t="s">
        <v>25</v>
      </c>
      <c r="D5" s="92" t="s">
        <v>25</v>
      </c>
      <c r="E5" s="92" t="s">
        <v>25</v>
      </c>
      <c r="F5" s="92" t="s">
        <v>25</v>
      </c>
      <c r="G5" s="18" t="s">
        <v>73</v>
      </c>
      <c r="H5" s="18" t="s">
        <v>72</v>
      </c>
      <c r="I5" s="18">
        <f>'MERCADO TUSD'!$U$2</f>
        <v>201</v>
      </c>
      <c r="J5" s="15"/>
      <c r="L5" s="13">
        <f>'TUSD BE'!$L$5*'TUSD BE'!$L$58</f>
        <v>0</v>
      </c>
      <c r="M5" s="13">
        <f>'TUSD BE'!$M$5*'TUSD BE'!$M$58</f>
        <v>0</v>
      </c>
      <c r="N5" s="13">
        <f ca="1">'TUSD BE'!$N$5*'TUSD BE'!$N$58</f>
        <v>0</v>
      </c>
      <c r="O5" s="13">
        <f>'TUSD BE'!$O$5*'TUSD BE'!$O$58</f>
        <v>0</v>
      </c>
      <c r="P5" s="13">
        <f>'TUSD BE'!$P$5*'TUSD BE'!$P$58</f>
        <v>0</v>
      </c>
      <c r="Q5" s="13">
        <f>'TUSD BE'!$Q$5*'TUSD BE'!$Q$58</f>
        <v>0</v>
      </c>
      <c r="R5" s="13">
        <f>'TUSD BE'!$R$5*'TUSD BE'!$R$58</f>
        <v>0</v>
      </c>
      <c r="S5" s="13">
        <f>'TUSD BE'!$R$5*'TUSD BE'!$S$58</f>
        <v>0</v>
      </c>
      <c r="T5" s="13">
        <f ca="1">SUM($L$5:$S$5)</f>
        <v>0</v>
      </c>
      <c r="U5" s="13">
        <f>'TUSD BE'!$U$5*'TUSD BE'!$U$58</f>
        <v>0</v>
      </c>
      <c r="V5" s="13">
        <f>'TUSD BE'!$V$5*'TUSD BE'!$V$58</f>
        <v>0</v>
      </c>
      <c r="W5" s="13">
        <f>'TUSD BE'!$W$5*'TUSD BE'!$W$58</f>
        <v>0</v>
      </c>
      <c r="X5" s="13">
        <f>'TUSD BE'!$X$5*'TUSD BE'!$X$58</f>
        <v>0</v>
      </c>
      <c r="Y5" s="13">
        <f>'TUSD BE'!$Y$5*'TUSD BE'!$Y$58</f>
        <v>-0.92562482448016659</v>
      </c>
      <c r="Z5" s="13">
        <f>'TUSD BE'!$Z$5*'TUSD BE'!$Z$58</f>
        <v>0</v>
      </c>
      <c r="AA5" s="13">
        <f>'TUSD BE'!$AA$5*'TUSD BE'!$AA$58</f>
        <v>0</v>
      </c>
      <c r="AB5" s="13">
        <f>SUM($U$5:$AA$5)</f>
        <v>-0.92562482448016659</v>
      </c>
      <c r="AC5" s="13">
        <f>'TUSD BE'!$AC$5*'TUSD BE'!$AC$58</f>
        <v>-18.746527144626778</v>
      </c>
      <c r="AD5" s="13">
        <f>SUM($AC$5:$AC$5)</f>
        <v>-18.746527144626778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BE'!$AH$58</f>
        <v>0</v>
      </c>
      <c r="AI5" s="13">
        <f>'TUSD BE'!$AI$5*'TUSD BE'!$AI$58</f>
        <v>0</v>
      </c>
      <c r="AJ5" s="13">
        <f ca="1">'TUSD BE'!$AJ$5*'TUSD BE'!$AJ$58</f>
        <v>0</v>
      </c>
      <c r="AK5" s="13">
        <f ca="1">'TUSD BE'!$AK$5*'TUSD BE'!$AK$58</f>
        <v>0</v>
      </c>
      <c r="AL5" s="13">
        <f ca="1">SUM($AH$5:$AK$5)</f>
        <v>0</v>
      </c>
      <c r="AM5" s="13">
        <f ca="1">SUMIF($L$4:$AL$4,"SUBTOTAL",$L$5:$AL$5)</f>
        <v>-19.672151969106945</v>
      </c>
      <c r="AO5" s="20">
        <f ca="1">+'TUSD BE'!$T$5+'TUSD BE'!$AB$5+'TUSD BE'!$AD$5+'TUSD BE'!$AL$5</f>
        <v>137.11753993125291</v>
      </c>
      <c r="AP5" s="20">
        <f ca="1">+'TUSD BE'!$T$5+'TUSD BE'!$AB$5+'TUSD BE'!$AD$5+'TUSD BE'!$AL$5</f>
        <v>137.11753993125291</v>
      </c>
    </row>
    <row r="6" spans="1:42" ht="11.25" customHeight="1" x14ac:dyDescent="0.3">
      <c r="A6" s="92"/>
      <c r="B6" s="92"/>
      <c r="C6" s="92"/>
      <c r="D6" s="92"/>
      <c r="E6" s="92"/>
      <c r="F6" s="92"/>
      <c r="G6" s="18" t="s">
        <v>74</v>
      </c>
      <c r="H6" s="18" t="s">
        <v>72</v>
      </c>
      <c r="I6" s="18">
        <f>'MERCADO TUSD'!$U$3</f>
        <v>201</v>
      </c>
      <c r="J6" s="15"/>
      <c r="L6" s="13">
        <f>'TUSD BE'!$L$6*'TUSD BE'!$L$58</f>
        <v>0</v>
      </c>
      <c r="M6" s="13">
        <f>'TUSD BE'!$M$6*'TUSD BE'!$M$58</f>
        <v>0</v>
      </c>
      <c r="N6" s="13">
        <f ca="1">'TUSD BE'!$N$6*'TUSD BE'!$N$58</f>
        <v>0</v>
      </c>
      <c r="O6" s="13">
        <f>'TUSD BE'!$O$6*'TUSD BE'!$O$58</f>
        <v>0</v>
      </c>
      <c r="P6" s="13">
        <f>'TUSD BE'!$P$6*'TUSD BE'!$P$58</f>
        <v>0</v>
      </c>
      <c r="Q6" s="13">
        <f>'TUSD BE'!$Q$6*'TUSD BE'!$Q$58</f>
        <v>0</v>
      </c>
      <c r="R6" s="13">
        <f>'TUSD BE'!$R$6*'TUSD BE'!$R$58</f>
        <v>0</v>
      </c>
      <c r="S6" s="13">
        <f>'TUSD BE'!$R$6*'TUSD BE'!$S$58</f>
        <v>0</v>
      </c>
      <c r="T6" s="13">
        <f ca="1">SUM($L$6:$S$6)</f>
        <v>0</v>
      </c>
      <c r="U6" s="13">
        <f>'TUSD BE'!$U$6*'TUSD BE'!$U$58</f>
        <v>0</v>
      </c>
      <c r="V6" s="13">
        <f>'TUSD BE'!$V$6*'TUSD BE'!$V$58</f>
        <v>0</v>
      </c>
      <c r="W6" s="13">
        <f>'TUSD BE'!$W$6*'TUSD BE'!$W$58</f>
        <v>0</v>
      </c>
      <c r="X6" s="13">
        <f>'TUSD BE'!$X$6*'TUSD BE'!$X$58</f>
        <v>0</v>
      </c>
      <c r="Y6" s="13">
        <f>'TUSD BE'!$Y$6*'TUSD BE'!$Y$58</f>
        <v>-0.53387332748115501</v>
      </c>
      <c r="Z6" s="13">
        <f>'TUSD BE'!$Z$6*'TUSD BE'!$Z$58</f>
        <v>0</v>
      </c>
      <c r="AA6" s="13">
        <f>'TUSD BE'!$AA$6*'TUSD BE'!$AA$58</f>
        <v>0</v>
      </c>
      <c r="AB6" s="13">
        <f>SUM($U$6:$AA$6)</f>
        <v>-0.53387332748115501</v>
      </c>
      <c r="AC6" s="13">
        <f>'TUSD BE'!$AC$6*'TUSD BE'!$AC$58</f>
        <v>-5.1308778423736907</v>
      </c>
      <c r="AD6" s="13">
        <f>SUM($AC$6:$AC$6)</f>
        <v>-5.1308778423736907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BE'!$AH$58</f>
        <v>0</v>
      </c>
      <c r="AI6" s="13">
        <f>'TUSD BE'!$AI$6*'TUSD BE'!$AI$58</f>
        <v>0</v>
      </c>
      <c r="AJ6" s="13">
        <f ca="1">'TUSD BE'!$AJ$6*'TUSD BE'!$AJ$58</f>
        <v>0</v>
      </c>
      <c r="AK6" s="13">
        <f ca="1">'TUSD BE'!$AK$6*'TUSD BE'!$AK$58</f>
        <v>0</v>
      </c>
      <c r="AL6" s="13">
        <f ca="1">SUM($AH$6:$AK$6)</f>
        <v>0</v>
      </c>
      <c r="AM6" s="13">
        <f ca="1">SUMIF($L$4:$AL$4,"SUBTOTAL",$L$6:$AL$6)</f>
        <v>-5.6647511698548456</v>
      </c>
      <c r="AO6" s="20">
        <f ca="1">+'TUSD BE'!$T$6+'TUSD BE'!$AB$6+'TUSD BE'!$AD$6+'TUSD BE'!$AL$6</f>
        <v>47.111477899721891</v>
      </c>
      <c r="AP6" s="20">
        <f ca="1">+'TUSD BE'!$T$6+'TUSD BE'!$AB$6+'TUSD BE'!$AD$6+'TUSD BE'!$AL$6</f>
        <v>47.111477899721891</v>
      </c>
    </row>
    <row r="7" spans="1:42" ht="11.25" customHeight="1" x14ac:dyDescent="0.3">
      <c r="A7" s="92"/>
      <c r="B7" s="92"/>
      <c r="C7" s="92"/>
      <c r="D7" s="92"/>
      <c r="E7" s="92"/>
      <c r="F7" s="92"/>
      <c r="G7" s="18" t="s">
        <v>75</v>
      </c>
      <c r="H7" s="18" t="s">
        <v>69</v>
      </c>
      <c r="I7" s="18">
        <f>'MERCADO TUSD'!$U$4</f>
        <v>89.552999999999997</v>
      </c>
      <c r="J7" s="15"/>
      <c r="L7" s="13">
        <f>'TUSD BE'!$L$7*'TUSD BE'!$L$58</f>
        <v>0</v>
      </c>
      <c r="M7" s="13">
        <f>'TUSD BE'!$M$7*'TUSD BE'!$M$58</f>
        <v>-1.0172567746633833E-2</v>
      </c>
      <c r="N7" s="13">
        <f ca="1">'TUSD BE'!$N$7*'TUSD BE'!$N$58</f>
        <v>0</v>
      </c>
      <c r="O7" s="13">
        <f>'TUSD BE'!$O$7*'TUSD BE'!$O$58</f>
        <v>0</v>
      </c>
      <c r="P7" s="13">
        <f>'TUSD BE'!$P$7*'TUSD BE'!$P$58</f>
        <v>0</v>
      </c>
      <c r="Q7" s="13">
        <f>'TUSD BE'!$Q$7*'TUSD BE'!$Q$58</f>
        <v>-0.63457282920058256</v>
      </c>
      <c r="R7" s="13">
        <f>'TUSD BE'!$R$7*'TUSD BE'!$R$58</f>
        <v>-0.12020486061023399</v>
      </c>
      <c r="S7" s="13">
        <f>'TUSD BE'!$R$7*'TUSD BE'!$S$58</f>
        <v>0</v>
      </c>
      <c r="T7" s="13">
        <f ca="1">SUM($L$7:$S$7)</f>
        <v>-0.76495025755745039</v>
      </c>
      <c r="U7" s="13">
        <f>'TUSD BE'!$U$7*'TUSD BE'!$U$58</f>
        <v>0</v>
      </c>
      <c r="V7" s="13">
        <f>'TUSD BE'!$V$7*'TUSD BE'!$V$58</f>
        <v>0</v>
      </c>
      <c r="W7" s="13">
        <f>'TUSD BE'!$W$7*'TUSD BE'!$W$58</f>
        <v>0</v>
      </c>
      <c r="X7" s="13">
        <f>'TUSD BE'!$X$7*'TUSD BE'!$X$58</f>
        <v>0</v>
      </c>
      <c r="Y7" s="13">
        <f>'TUSD BE'!$Y$7*'TUSD BE'!$Y$58</f>
        <v>0</v>
      </c>
      <c r="Z7" s="13">
        <f>'TUSD BE'!$Z$7*'TUSD BE'!$Z$58</f>
        <v>0</v>
      </c>
      <c r="AA7" s="13">
        <f>'TUSD BE'!$AA$7*'TUSD BE'!$AA$58</f>
        <v>0</v>
      </c>
      <c r="AB7" s="13">
        <f>SUM($U$7:$AA$7)</f>
        <v>0</v>
      </c>
      <c r="AC7" s="13">
        <f>'TUSD BE'!$AC$7*'TUSD BE'!$AC$58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BE'!$AH$58</f>
        <v>-0.19838746639373109</v>
      </c>
      <c r="AI7" s="13">
        <f>'TUSD BE'!$AI$7*'TUSD BE'!$AI$58</f>
        <v>0</v>
      </c>
      <c r="AJ7" s="13">
        <f ca="1">'TUSD BE'!$AJ$7*'TUSD BE'!$AJ$58</f>
        <v>0</v>
      </c>
      <c r="AK7" s="13">
        <f ca="1">'TUSD BE'!$AK$7*'TUSD BE'!$AK$58</f>
        <v>0</v>
      </c>
      <c r="AL7" s="13">
        <f ca="1">SUM($AH$7:$AK$7)</f>
        <v>-0.19838746639373109</v>
      </c>
      <c r="AM7" s="13">
        <f ca="1">SUMIF($L$4:$AL$4,"SUBTOTAL",$L$7:$AL$7)</f>
        <v>-0.96333772395118145</v>
      </c>
      <c r="AO7" s="20">
        <f ca="1">+'TUSD BE'!$T$7+'TUSD BE'!$AB$7+'TUSD BE'!$AD$7+'TUSD BE'!$AL$7</f>
        <v>102.02147228569699</v>
      </c>
      <c r="AP7" s="20">
        <f ca="1">+'TUSD BE'!$T$7+'TUSD BE'!$AB$7+'TUSD BE'!$AD$7+'TUSD BE'!$AL$7</f>
        <v>102.02147228569699</v>
      </c>
    </row>
    <row r="8" spans="1:42" ht="11.25" customHeight="1" x14ac:dyDescent="0.3">
      <c r="A8" s="92"/>
      <c r="B8" s="92"/>
      <c r="C8" s="92"/>
      <c r="D8" s="92"/>
      <c r="E8" s="17" t="s">
        <v>76</v>
      </c>
      <c r="F8" s="17" t="s">
        <v>25</v>
      </c>
      <c r="G8" s="18" t="s">
        <v>75</v>
      </c>
      <c r="H8" s="18" t="s">
        <v>69</v>
      </c>
      <c r="I8" s="18">
        <f>'MERCADO TUSD'!$U$5</f>
        <v>0</v>
      </c>
      <c r="J8" s="15"/>
      <c r="L8" s="13">
        <f>'TUSD BE'!$L$8*'TUSD BE'!$L$58</f>
        <v>0</v>
      </c>
      <c r="M8" s="13">
        <f>'TUSD BE'!$M$8*'TUSD BE'!$M$58</f>
        <v>-1.0172567746633833E-2</v>
      </c>
      <c r="N8" s="13">
        <f ca="1">'TUSD BE'!$N$8*'TUSD BE'!$N$58</f>
        <v>0</v>
      </c>
      <c r="O8" s="13">
        <f>'TUSD BE'!$O$8*'TUSD BE'!$O$58</f>
        <v>0</v>
      </c>
      <c r="P8" s="13">
        <f>'TUSD BE'!$P$8*'TUSD BE'!$P$58</f>
        <v>0</v>
      </c>
      <c r="Q8" s="13">
        <f>'TUSD BE'!$Q$8*'TUSD BE'!$Q$58</f>
        <v>0</v>
      </c>
      <c r="R8" s="13">
        <f>'TUSD BE'!$R$8*'TUSD BE'!$R$58</f>
        <v>0</v>
      </c>
      <c r="S8" s="13">
        <f>'TUSD BE'!$R$8*'TUSD BE'!$S$58</f>
        <v>0</v>
      </c>
      <c r="T8" s="13">
        <f ca="1">SUM($L$8:$S$8)</f>
        <v>-1.0172567746633833E-2</v>
      </c>
      <c r="U8" s="13">
        <f>'TUSD BE'!$U$8*'TUSD BE'!$U$58</f>
        <v>0</v>
      </c>
      <c r="V8" s="13">
        <f>'TUSD BE'!$V$8*'TUSD BE'!$V$58</f>
        <v>0</v>
      </c>
      <c r="W8" s="13">
        <f>'TUSD BE'!$W$8*'TUSD BE'!$W$58</f>
        <v>0</v>
      </c>
      <c r="X8" s="13">
        <f>'TUSD BE'!$X$8*'TUSD BE'!$X$58</f>
        <v>0</v>
      </c>
      <c r="Y8" s="13">
        <f>'TUSD BE'!$Y$8*'TUSD BE'!$Y$58</f>
        <v>0</v>
      </c>
      <c r="Z8" s="13">
        <f>'TUSD BE'!$Z$8*'TUSD BE'!$Z$58</f>
        <v>0</v>
      </c>
      <c r="AA8" s="13">
        <f>'TUSD BE'!$AA$8*'TUSD BE'!$AA$58</f>
        <v>0</v>
      </c>
      <c r="AB8" s="13">
        <f>SUM($U$8:$AA$8)</f>
        <v>0</v>
      </c>
      <c r="AC8" s="13">
        <f>'TUSD BE'!$AC$8*'TUSD BE'!$AC$58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BE'!$AH$58</f>
        <v>-0.19838746639373109</v>
      </c>
      <c r="AI8" s="13">
        <f>'TUSD BE'!$AI$8*'TUSD BE'!$AI$58</f>
        <v>0</v>
      </c>
      <c r="AJ8" s="13">
        <f ca="1">'TUSD BE'!$AJ$8*'TUSD BE'!$AJ$58</f>
        <v>0</v>
      </c>
      <c r="AK8" s="13">
        <f ca="1">'TUSD BE'!$AK$8*'TUSD BE'!$AK$58</f>
        <v>0</v>
      </c>
      <c r="AL8" s="13">
        <f ca="1">SUM($AH$8:$AK$8)</f>
        <v>-0.19838746639373109</v>
      </c>
      <c r="AM8" s="13">
        <f ca="1">SUMIF($L$4:$AL$4,"SUBTOTAL",$L$8:$AL$8)</f>
        <v>-0.20856003414036492</v>
      </c>
      <c r="AO8" s="20">
        <f ca="1">+'TUSD BE'!$T$8+'TUSD BE'!$AB$8+'TUSD BE'!$AD$8+'TUSD BE'!$AL$8</f>
        <v>11.817879498866676</v>
      </c>
      <c r="AP8" s="20">
        <f ca="1">+'TUSD BE'!$T$8+'TUSD BE'!$AB$8+'TUSD BE'!$AD$8+'TUSD BE'!$AL$8</f>
        <v>11.817879498866676</v>
      </c>
    </row>
    <row r="9" spans="1:42" ht="11.25" customHeight="1" x14ac:dyDescent="0.3">
      <c r="A9" s="92"/>
      <c r="B9" s="17" t="s">
        <v>77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72</v>
      </c>
      <c r="I9" s="18">
        <f>'MERCADO TUSD'!$U$6</f>
        <v>0</v>
      </c>
      <c r="J9" s="15"/>
      <c r="L9" s="13">
        <f>'TUSD BE'!$L$9*'TUSD BE'!$L$58</f>
        <v>0</v>
      </c>
      <c r="M9" s="13">
        <f>'TUSD BE'!$M$9*'TUSD BE'!$M$58</f>
        <v>-1.2668971032676375E-4</v>
      </c>
      <c r="N9" s="13">
        <f ca="1">'TUSD BE'!$N$9*'TUSD BE'!$N$58</f>
        <v>0</v>
      </c>
      <c r="O9" s="13">
        <f>'TUSD BE'!$O$9*'TUSD BE'!$O$58</f>
        <v>0</v>
      </c>
      <c r="P9" s="13">
        <f>'TUSD BE'!$P$9*'TUSD BE'!$P$58</f>
        <v>0</v>
      </c>
      <c r="Q9" s="13">
        <f>'TUSD BE'!$Q$9*'TUSD BE'!$Q$58</f>
        <v>0</v>
      </c>
      <c r="R9" s="13">
        <f>'TUSD BE'!$R$9*'TUSD BE'!$R$58</f>
        <v>0</v>
      </c>
      <c r="S9" s="13">
        <f>'TUSD BE'!$R$9*'TUSD BE'!$S$58</f>
        <v>0</v>
      </c>
      <c r="T9" s="13">
        <f ca="1">SUM($L$9:$S$9)</f>
        <v>-1.2668971032676375E-4</v>
      </c>
      <c r="U9" s="13">
        <f>'TUSD BE'!$U$9*'TUSD BE'!$U$58</f>
        <v>0</v>
      </c>
      <c r="V9" s="13">
        <f>'TUSD BE'!$V$9*'TUSD BE'!$V$58</f>
        <v>0</v>
      </c>
      <c r="W9" s="13">
        <f>'TUSD BE'!$W$9*'TUSD BE'!$W$58</f>
        <v>0</v>
      </c>
      <c r="X9" s="13">
        <f>'TUSD BE'!$X$9*'TUSD BE'!$X$58</f>
        <v>0</v>
      </c>
      <c r="Y9" s="13">
        <f>'TUSD BE'!$Y$9*'TUSD BE'!$Y$58</f>
        <v>0</v>
      </c>
      <c r="Z9" s="13">
        <f>'TUSD BE'!$Z$9*'TUSD BE'!$Z$58</f>
        <v>0</v>
      </c>
      <c r="AA9" s="13">
        <f>'TUSD BE'!$AA$9*'TUSD BE'!$AA$58</f>
        <v>0</v>
      </c>
      <c r="AB9" s="13">
        <f>SUM($U$9:$AA$9)</f>
        <v>0</v>
      </c>
      <c r="AC9" s="13">
        <f>'TUSD BE'!$AC$9*'TUSD BE'!$AC$58</f>
        <v>-2.8636524116341815</v>
      </c>
      <c r="AD9" s="13">
        <f>SUM($AC$9:$AC$9)</f>
        <v>-2.8636524116341815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BE'!$AH$58</f>
        <v>0</v>
      </c>
      <c r="AI9" s="13">
        <f>'TUSD BE'!$AI$9*'TUSD BE'!$AI$58</f>
        <v>0</v>
      </c>
      <c r="AJ9" s="13">
        <f ca="1">'TUSD BE'!$AJ$9*'TUSD BE'!$AJ$58</f>
        <v>0</v>
      </c>
      <c r="AK9" s="13">
        <f ca="1">'TUSD BE'!$AK$9*'TUSD BE'!$AK$58</f>
        <v>0</v>
      </c>
      <c r="AL9" s="13">
        <f ca="1">SUM($AH$9:$AK$9)</f>
        <v>0</v>
      </c>
      <c r="AM9" s="13">
        <f ca="1">SUMIF($L$4:$AL$4,"SUBTOTAL",$L$9:$AL$9)</f>
        <v>-2.8637791013445084</v>
      </c>
      <c r="AO9" s="20">
        <f ca="1">+'TUSD BE'!$T$9+'TUSD BE'!$AB$9+'TUSD BE'!$AD$9+'TUSD BE'!$AL$9</f>
        <v>16.127736311118326</v>
      </c>
      <c r="AP9" s="20">
        <f ca="1">+'TUSD BE'!$T$9+'TUSD BE'!$AB$9+'TUSD BE'!$AD$9+'TUSD BE'!$AL$9</f>
        <v>16.127736311118326</v>
      </c>
    </row>
    <row r="10" spans="1:42" ht="11.25" customHeight="1" x14ac:dyDescent="0.3">
      <c r="A10" s="92"/>
      <c r="B10" s="92" t="s">
        <v>36</v>
      </c>
      <c r="C10" s="92" t="s">
        <v>25</v>
      </c>
      <c r="D10" s="92" t="s">
        <v>25</v>
      </c>
      <c r="E10" s="92" t="s">
        <v>25</v>
      </c>
      <c r="F10" s="92" t="s">
        <v>25</v>
      </c>
      <c r="G10" s="18" t="s">
        <v>9</v>
      </c>
      <c r="H10" s="18" t="s">
        <v>72</v>
      </c>
      <c r="I10" s="18">
        <f>'MERCADO TUSD'!$U$7</f>
        <v>129328</v>
      </c>
      <c r="J10" s="15"/>
      <c r="L10" s="13">
        <f>'TUSD BE'!$L$10*'TUSD BE'!$L$58</f>
        <v>0</v>
      </c>
      <c r="M10" s="13">
        <f>'TUSD BE'!$M$10*'TUSD BE'!$M$58</f>
        <v>0</v>
      </c>
      <c r="N10" s="13">
        <f ca="1">'TUSD BE'!$N$10*'TUSD BE'!$N$58</f>
        <v>0</v>
      </c>
      <c r="O10" s="13">
        <f>'TUSD BE'!$O$10*'TUSD BE'!$O$58</f>
        <v>0</v>
      </c>
      <c r="P10" s="13">
        <f>'TUSD BE'!$P$10*'TUSD BE'!$P$58</f>
        <v>0</v>
      </c>
      <c r="Q10" s="13">
        <f>'TUSD BE'!$Q$10*'TUSD BE'!$Q$58</f>
        <v>0</v>
      </c>
      <c r="R10" s="13">
        <f>'TUSD BE'!$R$10*'TUSD BE'!$R$58</f>
        <v>0</v>
      </c>
      <c r="S10" s="13">
        <f>'TUSD BE'!$R$10*'TUSD BE'!$S$58</f>
        <v>0</v>
      </c>
      <c r="T10" s="13">
        <f ca="1">SUM($L$10:$S$10)</f>
        <v>0</v>
      </c>
      <c r="U10" s="13">
        <f>'TUSD BE'!$U$10*'TUSD BE'!$U$58</f>
        <v>0</v>
      </c>
      <c r="V10" s="13">
        <f>'TUSD BE'!$V$10*'TUSD BE'!$V$58</f>
        <v>0</v>
      </c>
      <c r="W10" s="13">
        <f>'TUSD BE'!$W$10*'TUSD BE'!$W$58</f>
        <v>0</v>
      </c>
      <c r="X10" s="13">
        <f>'TUSD BE'!$X$10*'TUSD BE'!$X$58</f>
        <v>0</v>
      </c>
      <c r="Y10" s="13">
        <f>'TUSD BE'!$Y$10*'TUSD BE'!$Y$58</f>
        <v>-0.53387332748115501</v>
      </c>
      <c r="Z10" s="13">
        <f>'TUSD BE'!$Z$10*'TUSD BE'!$Z$58</f>
        <v>0</v>
      </c>
      <c r="AA10" s="13">
        <f>'TUSD BE'!$AA$10*'TUSD BE'!$AA$58</f>
        <v>0</v>
      </c>
      <c r="AB10" s="13">
        <f>SUM($U$10:$AA$10)</f>
        <v>-0.53387332748115501</v>
      </c>
      <c r="AC10" s="13">
        <f>'TUSD BE'!$AC$10*'TUSD BE'!$AC$58</f>
        <v>-5.1308778423736907</v>
      </c>
      <c r="AD10" s="13">
        <f>SUM($AC$10:$AC$10)</f>
        <v>-5.1308778423736907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BE'!$AH$58</f>
        <v>0</v>
      </c>
      <c r="AI10" s="13">
        <f>'TUSD BE'!$AI$10*'TUSD BE'!$AI$58</f>
        <v>0</v>
      </c>
      <c r="AJ10" s="13">
        <f ca="1">'TUSD BE'!$AJ$10*'TUSD BE'!$AJ$58</f>
        <v>0</v>
      </c>
      <c r="AK10" s="13">
        <f ca="1">'TUSD BE'!$AK$10*'TUSD BE'!$AK$58</f>
        <v>0</v>
      </c>
      <c r="AL10" s="13">
        <f ca="1">SUM($AH$10:$AK$10)</f>
        <v>0</v>
      </c>
      <c r="AM10" s="13">
        <f ca="1">SUMIF($L$4:$AL$4,"SUBTOTAL",$L$10:$AL$10)</f>
        <v>-5.6647511698548456</v>
      </c>
      <c r="AO10" s="20">
        <f ca="1">+'TUSD BE'!$T$10+'TUSD BE'!$AB$10+'TUSD BE'!$AD$10+'TUSD BE'!$AL$10</f>
        <v>47.111477899721891</v>
      </c>
      <c r="AP10" s="20">
        <f ca="1">+'TUSD BE'!$T$10+'TUSD BE'!$AB$10+'TUSD BE'!$AD$10+'TUSD BE'!$AL$10</f>
        <v>47.111477899721891</v>
      </c>
    </row>
    <row r="11" spans="1:42" ht="11.25" customHeight="1" x14ac:dyDescent="0.3">
      <c r="A11" s="92"/>
      <c r="B11" s="92"/>
      <c r="C11" s="92"/>
      <c r="D11" s="92"/>
      <c r="E11" s="92"/>
      <c r="F11" s="92"/>
      <c r="G11" s="18" t="s">
        <v>70</v>
      </c>
      <c r="H11" s="18" t="s">
        <v>69</v>
      </c>
      <c r="I11" s="18">
        <f>'MERCADO TUSD'!$U$8</f>
        <v>1239.3609999999999</v>
      </c>
      <c r="J11" s="15"/>
      <c r="L11" s="13">
        <f>'TUSD BE'!$L$11*'TUSD BE'!$L$58</f>
        <v>0</v>
      </c>
      <c r="M11" s="13">
        <f>'TUSD BE'!$M$11*'TUSD BE'!$M$58</f>
        <v>-1.0172567746633833E-2</v>
      </c>
      <c r="N11" s="13">
        <f ca="1">'TUSD BE'!$N$11*'TUSD BE'!$N$58</f>
        <v>0</v>
      </c>
      <c r="O11" s="13">
        <f>'TUSD BE'!$O$11*'TUSD BE'!$O$58</f>
        <v>0</v>
      </c>
      <c r="P11" s="13">
        <f>'TUSD BE'!$P$11*'TUSD BE'!$P$58</f>
        <v>0</v>
      </c>
      <c r="Q11" s="13">
        <f>'TUSD BE'!$Q$11*'TUSD BE'!$Q$58</f>
        <v>-0.63457282920058256</v>
      </c>
      <c r="R11" s="13">
        <f>'TUSD BE'!$R$11*'TUSD BE'!$R$58</f>
        <v>-0.12020486061023399</v>
      </c>
      <c r="S11" s="13">
        <f>'TUSD BE'!$R$11*'TUSD BE'!$S$58</f>
        <v>0</v>
      </c>
      <c r="T11" s="13">
        <f ca="1">SUM($L$11:$S$11)</f>
        <v>-0.76495025755745039</v>
      </c>
      <c r="U11" s="13">
        <f>'TUSD BE'!$U$11*'TUSD BE'!$U$58</f>
        <v>0</v>
      </c>
      <c r="V11" s="13">
        <f>'TUSD BE'!$V$11*'TUSD BE'!$V$58</f>
        <v>0</v>
      </c>
      <c r="W11" s="13">
        <f>'TUSD BE'!$W$11*'TUSD BE'!$W$58</f>
        <v>0</v>
      </c>
      <c r="X11" s="13">
        <f>'TUSD BE'!$X$11*'TUSD BE'!$X$58</f>
        <v>0</v>
      </c>
      <c r="Y11" s="13">
        <f>'TUSD BE'!$Y$11*'TUSD BE'!$Y$58</f>
        <v>-22.282393830440643</v>
      </c>
      <c r="Z11" s="13">
        <f>'TUSD BE'!$Z$11*'TUSD BE'!$Z$58</f>
        <v>0</v>
      </c>
      <c r="AA11" s="13">
        <f>'TUSD BE'!$AA$11*'TUSD BE'!$AA$58</f>
        <v>0</v>
      </c>
      <c r="AB11" s="13">
        <f>SUM($U$11:$AA$11)</f>
        <v>-22.282393830440643</v>
      </c>
      <c r="AC11" s="13">
        <f>'TUSD BE'!$AC$11*'TUSD BE'!$AC$58</f>
        <v>-450.85387836952697</v>
      </c>
      <c r="AD11" s="13">
        <f>SUM($AC$11:$AC$11)</f>
        <v>-450.85387836952697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BE'!$AH$58</f>
        <v>-0.19838746639373109</v>
      </c>
      <c r="AI11" s="13">
        <f>'TUSD BE'!$AI$11*'TUSD BE'!$AI$58</f>
        <v>0</v>
      </c>
      <c r="AJ11" s="13">
        <f ca="1">'TUSD BE'!$AJ$11*'TUSD BE'!$AJ$58</f>
        <v>0</v>
      </c>
      <c r="AK11" s="13">
        <f ca="1">'TUSD BE'!$AK$11*'TUSD BE'!$AK$58</f>
        <v>0</v>
      </c>
      <c r="AL11" s="13">
        <f ca="1">SUM($AH$11:$AK$11)</f>
        <v>-0.19838746639373109</v>
      </c>
      <c r="AM11" s="13">
        <f ca="1">SUMIF($L$4:$AL$4,"SUBTOTAL",$L$11:$AL$11)</f>
        <v>-474.09960992391882</v>
      </c>
      <c r="AO11" s="20">
        <f ca="1">+'TUSD BE'!$T$11+'TUSD BE'!$AB$11+'TUSD BE'!$AD$11+'TUSD BE'!$AL$11</f>
        <v>3400.4190806408828</v>
      </c>
      <c r="AP11" s="20">
        <f ca="1">+'TUSD BE'!$T$11+'TUSD BE'!$AB$11+'TUSD BE'!$AD$11+'TUSD BE'!$AL$11</f>
        <v>3400.4190806408828</v>
      </c>
    </row>
    <row r="12" spans="1:42" ht="11.25" customHeight="1" x14ac:dyDescent="0.3">
      <c r="A12" s="92"/>
      <c r="B12" s="92"/>
      <c r="C12" s="92"/>
      <c r="D12" s="92"/>
      <c r="E12" s="92"/>
      <c r="F12" s="92"/>
      <c r="G12" s="18" t="s">
        <v>71</v>
      </c>
      <c r="H12" s="18" t="s">
        <v>69</v>
      </c>
      <c r="I12" s="18">
        <f>'MERCADO TUSD'!$U$9</f>
        <v>28573.93</v>
      </c>
      <c r="J12" s="15"/>
      <c r="L12" s="13">
        <f>'TUSD BE'!$L$12*'TUSD BE'!$L$58</f>
        <v>0</v>
      </c>
      <c r="M12" s="13">
        <f>'TUSD BE'!$M$12*'TUSD BE'!$M$58</f>
        <v>-1.0172567746633833E-2</v>
      </c>
      <c r="N12" s="13">
        <f ca="1">'TUSD BE'!$N$12*'TUSD BE'!$N$58</f>
        <v>0</v>
      </c>
      <c r="O12" s="13">
        <f>'TUSD BE'!$O$12*'TUSD BE'!$O$58</f>
        <v>0</v>
      </c>
      <c r="P12" s="13">
        <f>'TUSD BE'!$P$12*'TUSD BE'!$P$58</f>
        <v>0</v>
      </c>
      <c r="Q12" s="13">
        <f>'TUSD BE'!$Q$12*'TUSD BE'!$Q$58</f>
        <v>-0.63457282920058256</v>
      </c>
      <c r="R12" s="13">
        <f>'TUSD BE'!$R$12*'TUSD BE'!$R$58</f>
        <v>-0.12020486061023399</v>
      </c>
      <c r="S12" s="13">
        <f>'TUSD BE'!$R$12*'TUSD BE'!$S$58</f>
        <v>0</v>
      </c>
      <c r="T12" s="13">
        <f ca="1">SUM($L$12:$S$12)</f>
        <v>-0.76495025755745039</v>
      </c>
      <c r="U12" s="13">
        <f>'TUSD BE'!$U$12*'TUSD BE'!$U$58</f>
        <v>0</v>
      </c>
      <c r="V12" s="13">
        <f>'TUSD BE'!$V$12*'TUSD BE'!$V$58</f>
        <v>0</v>
      </c>
      <c r="W12" s="13">
        <f>'TUSD BE'!$W$12*'TUSD BE'!$W$58</f>
        <v>0</v>
      </c>
      <c r="X12" s="13">
        <f>'TUSD BE'!$X$12*'TUSD BE'!$X$58</f>
        <v>0</v>
      </c>
      <c r="Y12" s="13">
        <f>'TUSD BE'!$Y$12*'TUSD BE'!$Y$58</f>
        <v>0</v>
      </c>
      <c r="Z12" s="13">
        <f>'TUSD BE'!$Z$12*'TUSD BE'!$Z$58</f>
        <v>0</v>
      </c>
      <c r="AA12" s="13">
        <f>'TUSD BE'!$AA$12*'TUSD BE'!$AA$58</f>
        <v>0</v>
      </c>
      <c r="AB12" s="13">
        <f>SUM($U$12:$AA$12)</f>
        <v>0</v>
      </c>
      <c r="AC12" s="13">
        <f>'TUSD BE'!$AC$12*'TUSD BE'!$AC$58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BE'!$AH$58</f>
        <v>-0.19838746639373109</v>
      </c>
      <c r="AI12" s="13">
        <f>'TUSD BE'!$AI$12*'TUSD BE'!$AI$58</f>
        <v>0</v>
      </c>
      <c r="AJ12" s="13">
        <f ca="1">'TUSD BE'!$AJ$12*'TUSD BE'!$AJ$58</f>
        <v>0</v>
      </c>
      <c r="AK12" s="13">
        <f ca="1">'TUSD BE'!$AK$12*'TUSD BE'!$AK$58</f>
        <v>0</v>
      </c>
      <c r="AL12" s="13">
        <f ca="1">SUM($AH$12:$AK$12)</f>
        <v>-0.19838746639373109</v>
      </c>
      <c r="AM12" s="13">
        <f ca="1">SUMIF($L$4:$AL$4,"SUBTOTAL",$L$12:$AL$12)</f>
        <v>-0.96333772395118145</v>
      </c>
      <c r="AO12" s="20">
        <f ca="1">+'TUSD BE'!$T$12+'TUSD BE'!$AB$12+'TUSD BE'!$AD$12+'TUSD BE'!$AL$12</f>
        <v>102.02147228569699</v>
      </c>
      <c r="AP12" s="20">
        <f ca="1">+'TUSD BE'!$T$12+'TUSD BE'!$AB$12+'TUSD BE'!$AD$12+'TUSD BE'!$AL$12</f>
        <v>102.02147228569699</v>
      </c>
    </row>
    <row r="13" spans="1:42" ht="11.25" customHeight="1" x14ac:dyDescent="0.3">
      <c r="A13" s="92"/>
      <c r="B13" s="92"/>
      <c r="C13" s="92"/>
      <c r="D13" s="92"/>
      <c r="E13" s="92" t="s">
        <v>76</v>
      </c>
      <c r="F13" s="92" t="s">
        <v>25</v>
      </c>
      <c r="G13" s="18" t="s">
        <v>70</v>
      </c>
      <c r="H13" s="18" t="s">
        <v>69</v>
      </c>
      <c r="I13" s="18">
        <f>'MERCADO TUSD'!$U$10</f>
        <v>0</v>
      </c>
      <c r="J13" s="15"/>
      <c r="L13" s="13">
        <f>'TUSD BE'!$L$13*'TUSD BE'!$L$58</f>
        <v>0</v>
      </c>
      <c r="M13" s="13">
        <f>'TUSD BE'!$M$13*'TUSD BE'!$M$58</f>
        <v>-1.0172567746633833E-2</v>
      </c>
      <c r="N13" s="13">
        <f ca="1">'TUSD BE'!$N$13*'TUSD BE'!$N$58</f>
        <v>0</v>
      </c>
      <c r="O13" s="13">
        <f>'TUSD BE'!$O$13*'TUSD BE'!$O$58</f>
        <v>0</v>
      </c>
      <c r="P13" s="13">
        <f>'TUSD BE'!$P$13*'TUSD BE'!$P$58</f>
        <v>0</v>
      </c>
      <c r="Q13" s="13">
        <f>'TUSD BE'!$Q$13*'TUSD BE'!$Q$58</f>
        <v>0</v>
      </c>
      <c r="R13" s="13">
        <f>'TUSD BE'!$R$13*'TUSD BE'!$R$58</f>
        <v>0</v>
      </c>
      <c r="S13" s="13">
        <f>'TUSD BE'!$R$13*'TUSD BE'!$S$58</f>
        <v>0</v>
      </c>
      <c r="T13" s="13">
        <f ca="1">SUM($L$13:$S$13)</f>
        <v>-1.0172567746633833E-2</v>
      </c>
      <c r="U13" s="13">
        <f>'TUSD BE'!$U$13*'TUSD BE'!$U$58</f>
        <v>0</v>
      </c>
      <c r="V13" s="13">
        <f>'TUSD BE'!$V$13*'TUSD BE'!$V$58</f>
        <v>0</v>
      </c>
      <c r="W13" s="13">
        <f>'TUSD BE'!$W$13*'TUSD BE'!$W$58</f>
        <v>0</v>
      </c>
      <c r="X13" s="13">
        <f>'TUSD BE'!$X$13*'TUSD BE'!$X$58</f>
        <v>0</v>
      </c>
      <c r="Y13" s="13">
        <f>'TUSD BE'!$Y$13*'TUSD BE'!$Y$58</f>
        <v>-22.282393830440643</v>
      </c>
      <c r="Z13" s="13">
        <f>'TUSD BE'!$Z$13*'TUSD BE'!$Z$58</f>
        <v>0</v>
      </c>
      <c r="AA13" s="13">
        <f>'TUSD BE'!$AA$13*'TUSD BE'!$AA$58</f>
        <v>0</v>
      </c>
      <c r="AB13" s="13">
        <f>SUM($U$13:$AA$13)</f>
        <v>-22.282393830440643</v>
      </c>
      <c r="AC13" s="13">
        <f>'TUSD BE'!$AC$13*'TUSD BE'!$AC$58</f>
        <v>-450.85387836952697</v>
      </c>
      <c r="AD13" s="13">
        <f>SUM($AC$13:$AC$13)</f>
        <v>-450.85387836952697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BE'!$AH$58</f>
        <v>-0.19838746639373109</v>
      </c>
      <c r="AI13" s="13">
        <f>'TUSD BE'!$AI$13*'TUSD BE'!$AI$58</f>
        <v>0</v>
      </c>
      <c r="AJ13" s="13">
        <f ca="1">'TUSD BE'!$AJ$13*'TUSD BE'!$AJ$58</f>
        <v>0</v>
      </c>
      <c r="AK13" s="13">
        <f ca="1">'TUSD BE'!$AK$13*'TUSD BE'!$AK$58</f>
        <v>0</v>
      </c>
      <c r="AL13" s="13">
        <f ca="1">SUM($AH$13:$AK$13)</f>
        <v>-0.19838746639373109</v>
      </c>
      <c r="AM13" s="13">
        <f ca="1">SUMIF($L$4:$AL$4,"SUBTOTAL",$L$13:$AL$13)</f>
        <v>-473.34483223410797</v>
      </c>
      <c r="AO13" s="20">
        <f ca="1">+'TUSD BE'!$T$13+'TUSD BE'!$AB$13+'TUSD BE'!$AD$13+'TUSD BE'!$AL$13</f>
        <v>3310.2154878540528</v>
      </c>
      <c r="AP13" s="20">
        <f ca="1">+'TUSD BE'!$T$13+'TUSD BE'!$AB$13+'TUSD BE'!$AD$13+'TUSD BE'!$AL$13</f>
        <v>3310.2154878540528</v>
      </c>
    </row>
    <row r="14" spans="1:42" ht="11.25" customHeight="1" x14ac:dyDescent="0.3">
      <c r="A14" s="92"/>
      <c r="B14" s="92"/>
      <c r="C14" s="92"/>
      <c r="D14" s="92"/>
      <c r="E14" s="92"/>
      <c r="F14" s="92"/>
      <c r="G14" s="18" t="s">
        <v>71</v>
      </c>
      <c r="H14" s="18" t="s">
        <v>69</v>
      </c>
      <c r="I14" s="18">
        <f>'MERCADO TUSD'!$U$11</f>
        <v>0</v>
      </c>
      <c r="J14" s="15"/>
      <c r="L14" s="13">
        <f>'TUSD BE'!$L$14*'TUSD BE'!$L$58</f>
        <v>0</v>
      </c>
      <c r="M14" s="13">
        <f>'TUSD BE'!$M$14*'TUSD BE'!$M$58</f>
        <v>-1.0172567746633833E-2</v>
      </c>
      <c r="N14" s="13">
        <f ca="1">'TUSD BE'!$N$14*'TUSD BE'!$N$58</f>
        <v>0</v>
      </c>
      <c r="O14" s="13">
        <f>'TUSD BE'!$O$14*'TUSD BE'!$O$58</f>
        <v>0</v>
      </c>
      <c r="P14" s="13">
        <f>'TUSD BE'!$P$14*'TUSD BE'!$P$58</f>
        <v>0</v>
      </c>
      <c r="Q14" s="13">
        <f>'TUSD BE'!$Q$14*'TUSD BE'!$Q$58</f>
        <v>0</v>
      </c>
      <c r="R14" s="13">
        <f>'TUSD BE'!$R$14*'TUSD BE'!$R$58</f>
        <v>0</v>
      </c>
      <c r="S14" s="13">
        <f>'TUSD BE'!$R$14*'TUSD BE'!$S$58</f>
        <v>0</v>
      </c>
      <c r="T14" s="13">
        <f ca="1">SUM($L$14:$S$14)</f>
        <v>-1.0172567746633833E-2</v>
      </c>
      <c r="U14" s="13">
        <f>'TUSD BE'!$U$14*'TUSD BE'!$U$58</f>
        <v>0</v>
      </c>
      <c r="V14" s="13">
        <f>'TUSD BE'!$V$14*'TUSD BE'!$V$58</f>
        <v>0</v>
      </c>
      <c r="W14" s="13">
        <f>'TUSD BE'!$W$14*'TUSD BE'!$W$58</f>
        <v>0</v>
      </c>
      <c r="X14" s="13">
        <f>'TUSD BE'!$X$14*'TUSD BE'!$X$58</f>
        <v>0</v>
      </c>
      <c r="Y14" s="13">
        <f>'TUSD BE'!$Y$14*'TUSD BE'!$Y$58</f>
        <v>0</v>
      </c>
      <c r="Z14" s="13">
        <f>'TUSD BE'!$Z$14*'TUSD BE'!$Z$58</f>
        <v>0</v>
      </c>
      <c r="AA14" s="13">
        <f>'TUSD BE'!$AA$14*'TUSD BE'!$AA$58</f>
        <v>0</v>
      </c>
      <c r="AB14" s="13">
        <f>SUM($U$14:$AA$14)</f>
        <v>0</v>
      </c>
      <c r="AC14" s="13">
        <f>'TUSD BE'!$AC$14*'TUSD BE'!$AC$58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BE'!$AH$58</f>
        <v>-0.19838746639373109</v>
      </c>
      <c r="AI14" s="13">
        <f>'TUSD BE'!$AI$14*'TUSD BE'!$AI$58</f>
        <v>0</v>
      </c>
      <c r="AJ14" s="13">
        <f ca="1">'TUSD BE'!$AJ$14*'TUSD BE'!$AJ$58</f>
        <v>0</v>
      </c>
      <c r="AK14" s="13">
        <f ca="1">'TUSD BE'!$AK$14*'TUSD BE'!$AK$58</f>
        <v>0</v>
      </c>
      <c r="AL14" s="13">
        <f ca="1">SUM($AH$14:$AK$14)</f>
        <v>-0.19838746639373109</v>
      </c>
      <c r="AM14" s="13">
        <f ca="1">SUMIF($L$4:$AL$4,"SUBTOTAL",$L$14:$AL$14)</f>
        <v>-0.20856003414036492</v>
      </c>
      <c r="AO14" s="20">
        <f ca="1">+'TUSD BE'!$T$14+'TUSD BE'!$AB$14+'TUSD BE'!$AD$14+'TUSD BE'!$AL$14</f>
        <v>11.817879498866676</v>
      </c>
      <c r="AP14" s="20">
        <f ca="1">+'TUSD BE'!$T$14+'TUSD BE'!$AB$14+'TUSD BE'!$AD$14+'TUSD BE'!$AL$14</f>
        <v>11.817879498866676</v>
      </c>
    </row>
    <row r="15" spans="1:42" ht="11.25" customHeight="1" x14ac:dyDescent="0.3">
      <c r="A15" s="92" t="s">
        <v>78</v>
      </c>
      <c r="B15" s="92" t="s">
        <v>77</v>
      </c>
      <c r="C15" s="92" t="s">
        <v>25</v>
      </c>
      <c r="D15" s="92" t="s">
        <v>25</v>
      </c>
      <c r="E15" s="17" t="s">
        <v>79</v>
      </c>
      <c r="F15" s="17" t="s">
        <v>25</v>
      </c>
      <c r="G15" s="18" t="s">
        <v>9</v>
      </c>
      <c r="H15" s="18" t="s">
        <v>72</v>
      </c>
      <c r="I15" s="18">
        <f>'MERCADO TUSD'!$U$12+0.00000001</f>
        <v>1E-8</v>
      </c>
      <c r="J15" s="15"/>
      <c r="L15" s="13">
        <f>'TUSD BE'!$L$15*'TUSD BE'!$L$58</f>
        <v>0</v>
      </c>
      <c r="M15" s="13">
        <f>'TUSD BE'!$M$15*'TUSD BE'!$M$58</f>
        <v>-7.2394120186722132E-5</v>
      </c>
      <c r="N15" s="13">
        <f ca="1">'TUSD BE'!$N$15*'TUSD BE'!$N$58</f>
        <v>0</v>
      </c>
      <c r="O15" s="13">
        <f>'TUSD BE'!$O$15*'TUSD BE'!$O$58</f>
        <v>0</v>
      </c>
      <c r="P15" s="13">
        <f>'TUSD BE'!$P$15*'TUSD BE'!$P$58</f>
        <v>0</v>
      </c>
      <c r="Q15" s="13">
        <f>'TUSD BE'!$Q$15*'TUSD BE'!$Q$58</f>
        <v>0</v>
      </c>
      <c r="R15" s="13">
        <f>'TUSD BE'!$R$15*'TUSD BE'!$R$58</f>
        <v>0</v>
      </c>
      <c r="S15" s="13">
        <f>'TUSD BE'!$R$15*'TUSD BE'!$S$58</f>
        <v>0</v>
      </c>
      <c r="T15" s="13">
        <f ca="1">SUM($L$15:$S$15)</f>
        <v>-7.2394120186722132E-5</v>
      </c>
      <c r="U15" s="13">
        <f>'TUSD BE'!$U$15*'TUSD BE'!$U$58</f>
        <v>0</v>
      </c>
      <c r="V15" s="13">
        <f>'TUSD BE'!$V$15*'TUSD BE'!$V$58</f>
        <v>0</v>
      </c>
      <c r="W15" s="13">
        <f>'TUSD BE'!$W$15*'TUSD BE'!$W$58</f>
        <v>0</v>
      </c>
      <c r="X15" s="13">
        <f>'TUSD BE'!$X$15*'TUSD BE'!$X$58</f>
        <v>0</v>
      </c>
      <c r="Y15" s="13">
        <f>'TUSD BE'!$Y$15*'TUSD BE'!$Y$58</f>
        <v>0</v>
      </c>
      <c r="Z15" s="13">
        <f>'TUSD BE'!$Z$15*'TUSD BE'!$Z$58</f>
        <v>0</v>
      </c>
      <c r="AA15" s="13">
        <f>'TUSD BE'!$AA$15*'TUSD BE'!$AA$58</f>
        <v>0</v>
      </c>
      <c r="AB15" s="13">
        <f>SUM($U$15:$AA$15)</f>
        <v>0</v>
      </c>
      <c r="AC15" s="13">
        <f>'TUSD BE'!$AC$15*'TUSD BE'!$AC$58</f>
        <v>-1.6449572590226158</v>
      </c>
      <c r="AD15" s="13">
        <f>SUM($AC$15:$AC$15)</f>
        <v>-1.6449572590226158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BE'!$AH$58</f>
        <v>0</v>
      </c>
      <c r="AI15" s="13">
        <f>'TUSD BE'!$AI$15*'TUSD BE'!$AI$58</f>
        <v>0</v>
      </c>
      <c r="AJ15" s="13">
        <f ca="1">'TUSD BE'!$AJ$15*'TUSD BE'!$AJ$58</f>
        <v>0</v>
      </c>
      <c r="AK15" s="13">
        <f ca="1">'TUSD BE'!$AK$15*'TUSD BE'!$AK$58</f>
        <v>0</v>
      </c>
      <c r="AL15" s="13">
        <f ca="1">SUM($AH$15:$AK$15)</f>
        <v>0</v>
      </c>
      <c r="AM15" s="13">
        <f ca="1">SUMIF($L$4:$AL$4,"SUBTOTAL",$L$15:$AL$15)</f>
        <v>-1.6450296531428026</v>
      </c>
      <c r="AO15" s="20">
        <f ca="1">+'TUSD BE'!$T$15+'TUSD BE'!$AB$15+'TUSD BE'!$AD$15+'TUSD BE'!$AL$15</f>
        <v>9.2641596402218553</v>
      </c>
      <c r="AP15" s="20">
        <f ca="1">+'TUSD BE'!$T$15+'TUSD BE'!$AB$15+'TUSD BE'!$AD$15+'TUSD BE'!$AL$15</f>
        <v>9.2641596402218553</v>
      </c>
    </row>
    <row r="16" spans="1:42" ht="11.25" customHeight="1" x14ac:dyDescent="0.3">
      <c r="A16" s="92"/>
      <c r="B16" s="92"/>
      <c r="C16" s="92"/>
      <c r="D16" s="92"/>
      <c r="E16" s="17" t="s">
        <v>80</v>
      </c>
      <c r="F16" s="17" t="s">
        <v>25</v>
      </c>
      <c r="G16" s="18" t="s">
        <v>9</v>
      </c>
      <c r="H16" s="18" t="s">
        <v>72</v>
      </c>
      <c r="I16" s="18">
        <f>'MERCADO TUSD'!$U$13+0.00000001</f>
        <v>1E-8</v>
      </c>
      <c r="J16" s="15"/>
      <c r="L16" s="13">
        <f>'TUSD BE'!$L$16*'TUSD BE'!$L$58</f>
        <v>0</v>
      </c>
      <c r="M16" s="13">
        <f>'TUSD BE'!$M$16*'TUSD BE'!$M$58</f>
        <v>-7.2394120186722132E-5</v>
      </c>
      <c r="N16" s="13">
        <f ca="1">'TUSD BE'!$N$16*'TUSD BE'!$N$58</f>
        <v>0</v>
      </c>
      <c r="O16" s="13">
        <f>'TUSD BE'!$O$16*'TUSD BE'!$O$58</f>
        <v>0</v>
      </c>
      <c r="P16" s="13">
        <f>'TUSD BE'!$P$16*'TUSD BE'!$P$58</f>
        <v>0</v>
      </c>
      <c r="Q16" s="13">
        <f>'TUSD BE'!$Q$16*'TUSD BE'!$Q$58</f>
        <v>0</v>
      </c>
      <c r="R16" s="13">
        <f>'TUSD BE'!$R$16*'TUSD BE'!$R$58</f>
        <v>0</v>
      </c>
      <c r="S16" s="13">
        <f>'TUSD BE'!$R$16*'TUSD BE'!$S$58</f>
        <v>0</v>
      </c>
      <c r="T16" s="13">
        <f ca="1">SUM($L$16:$S$16)</f>
        <v>-7.2394120186722132E-5</v>
      </c>
      <c r="U16" s="13">
        <f>'TUSD BE'!$U$16*'TUSD BE'!$U$58</f>
        <v>0</v>
      </c>
      <c r="V16" s="13">
        <f>'TUSD BE'!$V$16*'TUSD BE'!$V$58</f>
        <v>0</v>
      </c>
      <c r="W16" s="13">
        <f>'TUSD BE'!$W$16*'TUSD BE'!$W$58</f>
        <v>0</v>
      </c>
      <c r="X16" s="13">
        <f>'TUSD BE'!$X$16*'TUSD BE'!$X$58</f>
        <v>0</v>
      </c>
      <c r="Y16" s="13">
        <f>'TUSD BE'!$Y$16*'TUSD BE'!$Y$58</f>
        <v>0</v>
      </c>
      <c r="Z16" s="13">
        <f>'TUSD BE'!$Z$16*'TUSD BE'!$Z$58</f>
        <v>0</v>
      </c>
      <c r="AA16" s="13">
        <f>'TUSD BE'!$AA$16*'TUSD BE'!$AA$58</f>
        <v>0</v>
      </c>
      <c r="AB16" s="13">
        <f>SUM($U$16:$AA$16)</f>
        <v>0</v>
      </c>
      <c r="AC16" s="13">
        <f>'TUSD BE'!$AC$16*'TUSD BE'!$AC$58</f>
        <v>-4.8962275329901095</v>
      </c>
      <c r="AD16" s="13">
        <f>SUM($AC$16:$AC$16)</f>
        <v>-4.8962275329901095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BE'!$AH$58</f>
        <v>0</v>
      </c>
      <c r="AI16" s="13">
        <f>'TUSD BE'!$AI$16*'TUSD BE'!$AI$58</f>
        <v>0</v>
      </c>
      <c r="AJ16" s="13">
        <f ca="1">'TUSD BE'!$AJ$16*'TUSD BE'!$AJ$58</f>
        <v>0</v>
      </c>
      <c r="AK16" s="13">
        <f ca="1">'TUSD BE'!$AK$16*'TUSD BE'!$AK$58</f>
        <v>0</v>
      </c>
      <c r="AL16" s="13">
        <f ca="1">SUM($AH$16:$AK$16)</f>
        <v>0</v>
      </c>
      <c r="AM16" s="13">
        <f ca="1">SUMIF($L$4:$AL$4,"SUBTOTAL",$L$16:$AL$16)</f>
        <v>-4.896299927110296</v>
      </c>
      <c r="AO16" s="20">
        <f ca="1">+'TUSD BE'!$T$16+'TUSD BE'!$AB$16+'TUSD BE'!$AD$16+'TUSD BE'!$AL$16</f>
        <v>27.56118071192423</v>
      </c>
      <c r="AP16" s="20">
        <f ca="1">+'TUSD BE'!$T$16+'TUSD BE'!$AB$16+'TUSD BE'!$AD$16+'TUSD BE'!$AL$16</f>
        <v>27.56118071192423</v>
      </c>
    </row>
    <row r="17" spans="1:42" ht="11.25" customHeight="1" x14ac:dyDescent="0.3">
      <c r="A17" s="92" t="s">
        <v>22</v>
      </c>
      <c r="B17" s="92" t="s">
        <v>39</v>
      </c>
      <c r="C17" s="92" t="s">
        <v>24</v>
      </c>
      <c r="D17" s="92" t="s">
        <v>24</v>
      </c>
      <c r="E17" s="92" t="s">
        <v>25</v>
      </c>
      <c r="F17" s="92" t="s">
        <v>25</v>
      </c>
      <c r="G17" s="18" t="s">
        <v>70</v>
      </c>
      <c r="H17" s="18" t="s">
        <v>69</v>
      </c>
      <c r="I17" s="18">
        <f>'MERCADO TUSD'!$U$14</f>
        <v>0</v>
      </c>
      <c r="J17" s="15"/>
      <c r="L17" s="13">
        <f>'TUSD BE'!$L$17*'TUSD BE'!$L$58</f>
        <v>0</v>
      </c>
      <c r="M17" s="13">
        <f>'TUSD BE'!$M$17*'TUSD BE'!$M$58</f>
        <v>-2.2657363822565332E-2</v>
      </c>
      <c r="N17" s="13">
        <f ca="1">'TUSD BE'!$N$17*'TUSD BE'!$N$58</f>
        <v>0</v>
      </c>
      <c r="O17" s="13">
        <f>'TUSD BE'!$O$17*'TUSD BE'!$O$58</f>
        <v>0</v>
      </c>
      <c r="P17" s="13">
        <f>'TUSD BE'!$P$17*'TUSD BE'!$P$58</f>
        <v>0</v>
      </c>
      <c r="Q17" s="13">
        <f>'TUSD BE'!$Q$17*'TUSD BE'!$Q$58</f>
        <v>-0.75544384428640787</v>
      </c>
      <c r="R17" s="13">
        <f>'TUSD BE'!$R$17*'TUSD BE'!$R$58</f>
        <v>-0.12020486061023399</v>
      </c>
      <c r="S17" s="13">
        <f>'TUSD BE'!$R$17*'TUSD BE'!$S$58</f>
        <v>0</v>
      </c>
      <c r="T17" s="13">
        <f ca="1">SUM($L$17:$S$17)</f>
        <v>-0.89830606871920715</v>
      </c>
      <c r="U17" s="13">
        <f>'TUSD BE'!$U$17*'TUSD BE'!$U$58</f>
        <v>0</v>
      </c>
      <c r="V17" s="13">
        <f>'TUSD BE'!$V$17*'TUSD BE'!$V$58</f>
        <v>0</v>
      </c>
      <c r="W17" s="13">
        <f>'TUSD BE'!$W$17*'TUSD BE'!$W$58</f>
        <v>0</v>
      </c>
      <c r="X17" s="13">
        <f>'TUSD BE'!$X$17*'TUSD BE'!$X$58</f>
        <v>0</v>
      </c>
      <c r="Y17" s="13">
        <f>'TUSD BE'!$Y$17*'TUSD BE'!$Y$58</f>
        <v>-8.6513050609753126</v>
      </c>
      <c r="Z17" s="13">
        <f>'TUSD BE'!$Z$17*'TUSD BE'!$Z$58</f>
        <v>0</v>
      </c>
      <c r="AA17" s="13">
        <f>'TUSD BE'!$AA$17*'TUSD BE'!$AA$58</f>
        <v>0</v>
      </c>
      <c r="AB17" s="13">
        <f>SUM($U$17:$AA$17)</f>
        <v>-8.6513050609753126</v>
      </c>
      <c r="AC17" s="13">
        <f>'TUSD BE'!$AC$17*'TUSD BE'!$AC$58</f>
        <v>-248.69742881390857</v>
      </c>
      <c r="AD17" s="13">
        <f>SUM($AC$17:$AC$17)</f>
        <v>-248.69742881390857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BE'!$AH$58</f>
        <v>-0.39599063408162205</v>
      </c>
      <c r="AI17" s="13">
        <f>'TUSD BE'!$AI$17*'TUSD BE'!$AI$58</f>
        <v>0</v>
      </c>
      <c r="AJ17" s="13">
        <f ca="1">'TUSD BE'!$AJ$17*'TUSD BE'!$AJ$58</f>
        <v>0</v>
      </c>
      <c r="AK17" s="13">
        <f ca="1">'TUSD BE'!$AK$17*'TUSD BE'!$AK$58</f>
        <v>0</v>
      </c>
      <c r="AL17" s="13">
        <f ca="1">SUM($AH$17:$AK$17)</f>
        <v>-0.39599063408162205</v>
      </c>
      <c r="AM17" s="13">
        <f ca="1">SUMIF($L$4:$AL$4,"SUBTOTAL",$L$17:$AL$17)</f>
        <v>-258.64303057768473</v>
      </c>
      <c r="AO17" s="20">
        <f ca="1">+'TUSD BE'!$T$17+'TUSD BE'!$AB$17+'TUSD BE'!$AD$17+'TUSD BE'!$AL$17</f>
        <v>1823.5839780666015</v>
      </c>
      <c r="AP17" s="20">
        <f ca="1">+'TUSD BE'!$T$17+'TUSD BE'!$AB$17+'TUSD BE'!$AD$17+'TUSD BE'!$AL$17</f>
        <v>1823.5839780666015</v>
      </c>
    </row>
    <row r="18" spans="1:42" ht="11.25" customHeight="1" x14ac:dyDescent="0.3">
      <c r="A18" s="92"/>
      <c r="B18" s="92"/>
      <c r="C18" s="92"/>
      <c r="D18" s="92"/>
      <c r="E18" s="92"/>
      <c r="F18" s="92"/>
      <c r="G18" s="18" t="s">
        <v>81</v>
      </c>
      <c r="H18" s="18" t="s">
        <v>69</v>
      </c>
      <c r="I18" s="18">
        <f>'MERCADO TUSD'!$U$15</f>
        <v>0</v>
      </c>
      <c r="J18" s="15"/>
      <c r="L18" s="13">
        <f>'TUSD BE'!$L$18*'TUSD BE'!$L$58</f>
        <v>0</v>
      </c>
      <c r="M18" s="13">
        <f>'TUSD BE'!$M$18*'TUSD BE'!$M$58</f>
        <v>-2.2657363822565332E-2</v>
      </c>
      <c r="N18" s="13">
        <f ca="1">'TUSD BE'!$N$18*'TUSD BE'!$N$58</f>
        <v>0</v>
      </c>
      <c r="O18" s="13">
        <f>'TUSD BE'!$O$18*'TUSD BE'!$O$58</f>
        <v>0</v>
      </c>
      <c r="P18" s="13">
        <f>'TUSD BE'!$P$18*'TUSD BE'!$P$58</f>
        <v>0</v>
      </c>
      <c r="Q18" s="13">
        <f>'TUSD BE'!$Q$18*'TUSD BE'!$Q$58</f>
        <v>-0.75544384428640787</v>
      </c>
      <c r="R18" s="13">
        <f>'TUSD BE'!$R$18*'TUSD BE'!$R$58</f>
        <v>-0.12020486061023399</v>
      </c>
      <c r="S18" s="13">
        <f>'TUSD BE'!$R$18*'TUSD BE'!$S$58</f>
        <v>0</v>
      </c>
      <c r="T18" s="13">
        <f ca="1">SUM($L$18:$S$18)</f>
        <v>-0.89830606871920715</v>
      </c>
      <c r="U18" s="13">
        <f>'TUSD BE'!$U$18*'TUSD BE'!$U$58</f>
        <v>0</v>
      </c>
      <c r="V18" s="13">
        <f>'TUSD BE'!$V$18*'TUSD BE'!$V$58</f>
        <v>0</v>
      </c>
      <c r="W18" s="13">
        <f>'TUSD BE'!$W$18*'TUSD BE'!$W$58</f>
        <v>0</v>
      </c>
      <c r="X18" s="13">
        <f>'TUSD BE'!$X$18*'TUSD BE'!$X$58</f>
        <v>0</v>
      </c>
      <c r="Y18" s="13">
        <f>'TUSD BE'!$Y$18*'TUSD BE'!$Y$58</f>
        <v>-5.1911484297072157</v>
      </c>
      <c r="Z18" s="13">
        <f>'TUSD BE'!$Z$18*'TUSD BE'!$Z$58</f>
        <v>0</v>
      </c>
      <c r="AA18" s="13">
        <f>'TUSD BE'!$AA$18*'TUSD BE'!$AA$58</f>
        <v>0</v>
      </c>
      <c r="AB18" s="13">
        <f>SUM($U$18:$AA$18)</f>
        <v>-5.1911484297072157</v>
      </c>
      <c r="AC18" s="13">
        <f>'TUSD BE'!$AC$18*'TUSD BE'!$AC$58</f>
        <v>-149.21851877193421</v>
      </c>
      <c r="AD18" s="13">
        <f>SUM($AC$18:$AC$18)</f>
        <v>-149.21851877193421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BE'!$AH$58</f>
        <v>-0.39599063408162205</v>
      </c>
      <c r="AI18" s="13">
        <f>'TUSD BE'!$AI$18*'TUSD BE'!$AI$58</f>
        <v>0</v>
      </c>
      <c r="AJ18" s="13">
        <f ca="1">'TUSD BE'!$AJ$18*'TUSD BE'!$AJ$58</f>
        <v>0</v>
      </c>
      <c r="AK18" s="13">
        <f ca="1">'TUSD BE'!$AK$18*'TUSD BE'!$AK$58</f>
        <v>0</v>
      </c>
      <c r="AL18" s="13">
        <f ca="1">SUM($AH$18:$AK$18)</f>
        <v>-0.39599063408162205</v>
      </c>
      <c r="AM18" s="13">
        <f ca="1">SUMIF($L$4:$AL$4,"SUBTOTAL",$L$18:$AL$18)</f>
        <v>-155.70396390444225</v>
      </c>
      <c r="AO18" s="20">
        <f ca="1">+'TUSD BE'!$T$18+'TUSD BE'!$AB$18+'TUSD BE'!$AD$18+'TUSD BE'!$AL$18</f>
        <v>1145.5550573920834</v>
      </c>
      <c r="AP18" s="20">
        <f ca="1">+'TUSD BE'!$T$18+'TUSD BE'!$AB$18+'TUSD BE'!$AD$18+'TUSD BE'!$AL$18</f>
        <v>1145.5550573920834</v>
      </c>
    </row>
    <row r="19" spans="1:42" ht="11.25" customHeight="1" x14ac:dyDescent="0.3">
      <c r="A19" s="92"/>
      <c r="B19" s="92"/>
      <c r="C19" s="92"/>
      <c r="D19" s="92"/>
      <c r="E19" s="92"/>
      <c r="F19" s="92"/>
      <c r="G19" s="18" t="s">
        <v>71</v>
      </c>
      <c r="H19" s="18" t="s">
        <v>69</v>
      </c>
      <c r="I19" s="18">
        <f>'MERCADO TUSD'!$U$16</f>
        <v>0</v>
      </c>
      <c r="J19" s="15"/>
      <c r="L19" s="13">
        <f>'TUSD BE'!$L$19*'TUSD BE'!$L$58</f>
        <v>0</v>
      </c>
      <c r="M19" s="13">
        <f>'TUSD BE'!$M$19*'TUSD BE'!$M$58</f>
        <v>-2.2657363822565332E-2</v>
      </c>
      <c r="N19" s="13">
        <f ca="1">'TUSD BE'!$N$19*'TUSD BE'!$N$58</f>
        <v>0</v>
      </c>
      <c r="O19" s="13">
        <f>'TUSD BE'!$O$19*'TUSD BE'!$O$58</f>
        <v>0</v>
      </c>
      <c r="P19" s="13">
        <f>'TUSD BE'!$P$19*'TUSD BE'!$P$58</f>
        <v>0</v>
      </c>
      <c r="Q19" s="13">
        <f>'TUSD BE'!$Q$19*'TUSD BE'!$Q$58</f>
        <v>-0.75544384428640787</v>
      </c>
      <c r="R19" s="13">
        <f>'TUSD BE'!$R$19*'TUSD BE'!$R$58</f>
        <v>-0.12020486061023399</v>
      </c>
      <c r="S19" s="13">
        <f>'TUSD BE'!$R$19*'TUSD BE'!$S$58</f>
        <v>0</v>
      </c>
      <c r="T19" s="13">
        <f ca="1">SUM($L$19:$S$19)</f>
        <v>-0.89830606871920715</v>
      </c>
      <c r="U19" s="13">
        <f>'TUSD BE'!$U$19*'TUSD BE'!$U$58</f>
        <v>0</v>
      </c>
      <c r="V19" s="13">
        <f>'TUSD BE'!$V$19*'TUSD BE'!$V$58</f>
        <v>0</v>
      </c>
      <c r="W19" s="13">
        <f>'TUSD BE'!$W$19*'TUSD BE'!$W$58</f>
        <v>0</v>
      </c>
      <c r="X19" s="13">
        <f>'TUSD BE'!$X$19*'TUSD BE'!$X$58</f>
        <v>0</v>
      </c>
      <c r="Y19" s="13">
        <f>'TUSD BE'!$Y$19*'TUSD BE'!$Y$58</f>
        <v>-1.7309888180710791</v>
      </c>
      <c r="Z19" s="13">
        <f>'TUSD BE'!$Z$19*'TUSD BE'!$Z$58</f>
        <v>0</v>
      </c>
      <c r="AA19" s="13">
        <f>'TUSD BE'!$AA$19*'TUSD BE'!$AA$58</f>
        <v>0</v>
      </c>
      <c r="AB19" s="13">
        <f>SUM($U$19:$AA$19)</f>
        <v>-1.7309888180710791</v>
      </c>
      <c r="AC19" s="13">
        <f>'TUSD BE'!$AC$19*'TUSD BE'!$AC$58</f>
        <v>-49.739500229508543</v>
      </c>
      <c r="AD19" s="13">
        <f>SUM($AC$19:$AC$19)</f>
        <v>-49.739500229508543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BE'!$AH$58</f>
        <v>-0.39599063408162205</v>
      </c>
      <c r="AI19" s="13">
        <f>'TUSD BE'!$AI$19*'TUSD BE'!$AI$58</f>
        <v>0</v>
      </c>
      <c r="AJ19" s="13">
        <f ca="1">'TUSD BE'!$AJ$19*'TUSD BE'!$AJ$58</f>
        <v>0</v>
      </c>
      <c r="AK19" s="13">
        <f ca="1">'TUSD BE'!$AK$19*'TUSD BE'!$AK$58</f>
        <v>0</v>
      </c>
      <c r="AL19" s="13">
        <f ca="1">SUM($AH$19:$AK$19)</f>
        <v>-0.39599063408162205</v>
      </c>
      <c r="AM19" s="13">
        <f ca="1">SUMIF($L$4:$AL$4,"SUBTOTAL",$L$19:$AL$19)</f>
        <v>-52.764785750380447</v>
      </c>
      <c r="AO19" s="20">
        <f ca="1">+'TUSD BE'!$T$19+'TUSD BE'!$AB$19+'TUSD BE'!$AD$19+'TUSD BE'!$AL$19</f>
        <v>467.52542430772718</v>
      </c>
      <c r="AP19" s="20">
        <f ca="1">+'TUSD BE'!$T$19+'TUSD BE'!$AB$19+'TUSD BE'!$AD$19+'TUSD BE'!$AL$19</f>
        <v>467.52542430772718</v>
      </c>
    </row>
    <row r="20" spans="1:42" ht="11.25" customHeight="1" x14ac:dyDescent="0.3">
      <c r="A20" s="92"/>
      <c r="B20" s="92" t="s">
        <v>23</v>
      </c>
      <c r="C20" s="92" t="s">
        <v>24</v>
      </c>
      <c r="D20" s="17" t="s">
        <v>24</v>
      </c>
      <c r="E20" s="17" t="s">
        <v>25</v>
      </c>
      <c r="F20" s="17" t="s">
        <v>25</v>
      </c>
      <c r="G20" s="18" t="s">
        <v>75</v>
      </c>
      <c r="H20" s="18" t="s">
        <v>69</v>
      </c>
      <c r="I20" s="18">
        <f>'MERCADO TUSD'!$U$17</f>
        <v>6626.2160000000003</v>
      </c>
      <c r="J20" s="15"/>
      <c r="L20" s="13">
        <f>'TUSD BE'!$L$20*'TUSD BE'!$L$58</f>
        <v>0</v>
      </c>
      <c r="M20" s="13">
        <f>'TUSD BE'!$M$20*'TUSD BE'!$M$58</f>
        <v>-2.2657363822565332E-2</v>
      </c>
      <c r="N20" s="13">
        <f ca="1">'TUSD BE'!$N$20*'TUSD BE'!$N$58</f>
        <v>0</v>
      </c>
      <c r="O20" s="13">
        <f>'TUSD BE'!$O$20*'TUSD BE'!$O$58</f>
        <v>0</v>
      </c>
      <c r="P20" s="13">
        <f>'TUSD BE'!$P$20*'TUSD BE'!$P$58</f>
        <v>0</v>
      </c>
      <c r="Q20" s="13">
        <f>'TUSD BE'!$Q$20*'TUSD BE'!$Q$58</f>
        <v>-0.75544384428640787</v>
      </c>
      <c r="R20" s="13">
        <f>'TUSD BE'!$R$20*'TUSD BE'!$R$58</f>
        <v>-0.12020486061023399</v>
      </c>
      <c r="S20" s="13">
        <f>'TUSD BE'!$R$20*'TUSD BE'!$S$58</f>
        <v>0</v>
      </c>
      <c r="T20" s="13">
        <f ca="1">SUM($L$20:$S$20)</f>
        <v>-0.89830606871920715</v>
      </c>
      <c r="U20" s="13">
        <f>'TUSD BE'!$U$20*'TUSD BE'!$U$58</f>
        <v>0</v>
      </c>
      <c r="V20" s="13">
        <f>'TUSD BE'!$V$20*'TUSD BE'!$V$58</f>
        <v>0</v>
      </c>
      <c r="W20" s="13">
        <f>'TUSD BE'!$W$20*'TUSD BE'!$W$58</f>
        <v>0</v>
      </c>
      <c r="X20" s="13">
        <f>'TUSD BE'!$X$20*'TUSD BE'!$X$58</f>
        <v>0</v>
      </c>
      <c r="Y20" s="13">
        <f>'TUSD BE'!$Y$20*'TUSD BE'!$Y$58</f>
        <v>-3.2050639501290359</v>
      </c>
      <c r="Z20" s="13">
        <f>'TUSD BE'!$Z$20*'TUSD BE'!$Z$58</f>
        <v>0</v>
      </c>
      <c r="AA20" s="13">
        <f>'TUSD BE'!$AA$20*'TUSD BE'!$AA$58</f>
        <v>0</v>
      </c>
      <c r="AB20" s="13">
        <f>SUM($U$20:$AA$20)</f>
        <v>-3.2050639501290359</v>
      </c>
      <c r="AC20" s="13">
        <f>'TUSD BE'!$AC$20*'TUSD BE'!$AC$58</f>
        <v>-92.110174224351184</v>
      </c>
      <c r="AD20" s="13">
        <f>SUM($AC$20:$AC$20)</f>
        <v>-92.110174224351184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BE'!$AH$58</f>
        <v>-0.39599063408162205</v>
      </c>
      <c r="AI20" s="13">
        <f>'TUSD BE'!$AI$20*'TUSD BE'!$AI$58</f>
        <v>0</v>
      </c>
      <c r="AJ20" s="13">
        <f ca="1">'TUSD BE'!$AJ$20*'TUSD BE'!$AJ$58</f>
        <v>0</v>
      </c>
      <c r="AK20" s="13">
        <f ca="1">'TUSD BE'!$AK$20*'TUSD BE'!$AK$58</f>
        <v>0</v>
      </c>
      <c r="AL20" s="13">
        <f ca="1">SUM($AH$20:$AK$20)</f>
        <v>-0.39599063408162205</v>
      </c>
      <c r="AM20" s="13">
        <f ca="1">SUMIF($L$4:$AL$4,"SUBTOTAL",$L$20:$AL$20)</f>
        <v>-96.60953487728105</v>
      </c>
      <c r="AO20" s="20">
        <f ca="1">+'TUSD BE'!$T$20+'TUSD BE'!$AB$20+'TUSD BE'!$AD$20+'TUSD BE'!$AL$20</f>
        <v>756.32608161848884</v>
      </c>
      <c r="AP20" s="20">
        <f ca="1">+'TUSD BE'!$T$20+'TUSD BE'!$AB$20+'TUSD BE'!$AD$20+'TUSD BE'!$AL$20</f>
        <v>756.32608161848884</v>
      </c>
    </row>
    <row r="21" spans="1:42" ht="11.25" customHeight="1" x14ac:dyDescent="0.3">
      <c r="A21" s="92"/>
      <c r="B21" s="92"/>
      <c r="C21" s="92"/>
      <c r="D21" s="17" t="s">
        <v>29</v>
      </c>
      <c r="E21" s="17" t="s">
        <v>25</v>
      </c>
      <c r="F21" s="17" t="s">
        <v>25</v>
      </c>
      <c r="G21" s="18" t="s">
        <v>75</v>
      </c>
      <c r="H21" s="18" t="s">
        <v>69</v>
      </c>
      <c r="I21" s="18">
        <f>'MERCADO TUSD'!$U$18</f>
        <v>56.819999999999993</v>
      </c>
      <c r="J21" s="15"/>
      <c r="L21" s="13">
        <f>'TUSD BE'!$L$21*'TUSD BE'!$L$58</f>
        <v>0</v>
      </c>
      <c r="M21" s="13">
        <f>'TUSD BE'!$M$21*'TUSD BE'!$M$58</f>
        <v>-2.2657363822565332E-2</v>
      </c>
      <c r="N21" s="13">
        <f ca="1">'TUSD BE'!$N$21*'TUSD BE'!$N$58</f>
        <v>0</v>
      </c>
      <c r="O21" s="13">
        <f>'TUSD BE'!$O$21*'TUSD BE'!$O$58</f>
        <v>0</v>
      </c>
      <c r="P21" s="13">
        <f>'TUSD BE'!$P$21*'TUSD BE'!$P$58</f>
        <v>0</v>
      </c>
      <c r="Q21" s="13">
        <f>'TUSD BE'!$Q$21*'TUSD BE'!$Q$58</f>
        <v>0</v>
      </c>
      <c r="R21" s="13">
        <f>'TUSD BE'!$R$21*'TUSD BE'!$R$58</f>
        <v>0</v>
      </c>
      <c r="S21" s="13">
        <f>'TUSD BE'!$R$21*'TUSD BE'!$S$58</f>
        <v>0</v>
      </c>
      <c r="T21" s="13">
        <f ca="1">SUM($L$21:$S$21)</f>
        <v>-2.2657363822565332E-2</v>
      </c>
      <c r="U21" s="13">
        <f>'TUSD BE'!$U$21*'TUSD BE'!$U$58</f>
        <v>0</v>
      </c>
      <c r="V21" s="13">
        <f>'TUSD BE'!$V$21*'TUSD BE'!$V$58</f>
        <v>0</v>
      </c>
      <c r="W21" s="13">
        <f>'TUSD BE'!$W$21*'TUSD BE'!$W$58</f>
        <v>0</v>
      </c>
      <c r="X21" s="13">
        <f>'TUSD BE'!$X$21*'TUSD BE'!$X$58</f>
        <v>0</v>
      </c>
      <c r="Y21" s="13">
        <f>'TUSD BE'!$Y$21*'TUSD BE'!$Y$58</f>
        <v>-3.2050639501290359</v>
      </c>
      <c r="Z21" s="13">
        <f>'TUSD BE'!$Z$21*'TUSD BE'!$Z$58</f>
        <v>0</v>
      </c>
      <c r="AA21" s="13">
        <f>'TUSD BE'!$AA$21*'TUSD BE'!$AA$58</f>
        <v>0</v>
      </c>
      <c r="AB21" s="13">
        <f>SUM($U$21:$AA$21)</f>
        <v>-3.2050639501290359</v>
      </c>
      <c r="AC21" s="13">
        <f>'TUSD BE'!$AC$21*'TUSD BE'!$AC$58</f>
        <v>-92.110174224351184</v>
      </c>
      <c r="AD21" s="13">
        <f>SUM($AC$21:$AC$21)</f>
        <v>-92.110174224351184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BE'!$AH$58</f>
        <v>-0.39599063408162205</v>
      </c>
      <c r="AI21" s="13">
        <f>'TUSD BE'!$AI$21*'TUSD BE'!$AI$58</f>
        <v>0</v>
      </c>
      <c r="AJ21" s="13">
        <f ca="1">'TUSD BE'!$AJ$21*'TUSD BE'!$AJ$58</f>
        <v>0</v>
      </c>
      <c r="AK21" s="13">
        <f ca="1">'TUSD BE'!$AK$21*'TUSD BE'!$AK$58</f>
        <v>0</v>
      </c>
      <c r="AL21" s="13">
        <f ca="1">SUM($AH$21:$AK$21)</f>
        <v>-0.39599063408162205</v>
      </c>
      <c r="AM21" s="13">
        <f ca="1">SUMIF($L$4:$AL$4,"SUBTOTAL",$L$21:$AL$21)</f>
        <v>-95.733886172384416</v>
      </c>
      <c r="AO21" s="20">
        <f ca="1">+'TUSD BE'!$T$21+'TUSD BE'!$AB$21+'TUSD BE'!$AD$21+'TUSD BE'!$AL$21</f>
        <v>651.6600822670348</v>
      </c>
      <c r="AP21" s="20">
        <f ca="1">+'TUSD BE'!$T$21+'TUSD BE'!$AB$21+'TUSD BE'!$AD$21+'TUSD BE'!$AL$21</f>
        <v>651.6600822670348</v>
      </c>
    </row>
    <row r="22" spans="1:42" ht="11.25" customHeight="1" x14ac:dyDescent="0.3">
      <c r="A22" s="92"/>
      <c r="B22" s="92"/>
      <c r="C22" s="92"/>
      <c r="D22" s="17" t="s">
        <v>30</v>
      </c>
      <c r="E22" s="17" t="s">
        <v>25</v>
      </c>
      <c r="F22" s="17" t="s">
        <v>25</v>
      </c>
      <c r="G22" s="18" t="s">
        <v>75</v>
      </c>
      <c r="H22" s="18" t="s">
        <v>69</v>
      </c>
      <c r="I22" s="18">
        <f>'MERCADO TUSD'!$U$19</f>
        <v>114.55999999999999</v>
      </c>
      <c r="J22" s="15"/>
      <c r="L22" s="13">
        <f>'TUSD BE'!$L$22*'TUSD BE'!$L$58</f>
        <v>0</v>
      </c>
      <c r="M22" s="13">
        <f>'TUSD BE'!$M$22*'TUSD BE'!$M$58</f>
        <v>-2.2657363822565332E-2</v>
      </c>
      <c r="N22" s="13">
        <f ca="1">'TUSD BE'!$N$22*'TUSD BE'!$N$58</f>
        <v>0</v>
      </c>
      <c r="O22" s="13">
        <f>'TUSD BE'!$O$22*'TUSD BE'!$O$58</f>
        <v>0</v>
      </c>
      <c r="P22" s="13">
        <f>'TUSD BE'!$P$22*'TUSD BE'!$P$58</f>
        <v>0</v>
      </c>
      <c r="Q22" s="13">
        <f>'TUSD BE'!$Q$22*'TUSD BE'!$Q$58</f>
        <v>0</v>
      </c>
      <c r="R22" s="13">
        <f>'TUSD BE'!$R$22*'TUSD BE'!$R$58</f>
        <v>0</v>
      </c>
      <c r="S22" s="13">
        <f>'TUSD BE'!$R$22*'TUSD BE'!$S$58</f>
        <v>0</v>
      </c>
      <c r="T22" s="13">
        <f ca="1">SUM($L$22:$S$22)</f>
        <v>-2.2657363822565332E-2</v>
      </c>
      <c r="U22" s="13">
        <f>'TUSD BE'!$U$22*'TUSD BE'!$U$58</f>
        <v>0</v>
      </c>
      <c r="V22" s="13">
        <f>'TUSD BE'!$V$22*'TUSD BE'!$V$58</f>
        <v>0</v>
      </c>
      <c r="W22" s="13">
        <f>'TUSD BE'!$W$22*'TUSD BE'!$W$58</f>
        <v>0</v>
      </c>
      <c r="X22" s="13">
        <f>'TUSD BE'!$X$22*'TUSD BE'!$X$58</f>
        <v>0</v>
      </c>
      <c r="Y22" s="13">
        <f>'TUSD BE'!$Y$22*'TUSD BE'!$Y$58</f>
        <v>-3.2050639501290359</v>
      </c>
      <c r="Z22" s="13">
        <f>'TUSD BE'!$Z$22*'TUSD BE'!$Z$58</f>
        <v>0</v>
      </c>
      <c r="AA22" s="13">
        <f>'TUSD BE'!$AA$22*'TUSD BE'!$AA$58</f>
        <v>0</v>
      </c>
      <c r="AB22" s="13">
        <f>SUM($U$22:$AA$22)</f>
        <v>-3.2050639501290359</v>
      </c>
      <c r="AC22" s="13">
        <f>'TUSD BE'!$AC$22*'TUSD BE'!$AC$58</f>
        <v>-92.110174224351184</v>
      </c>
      <c r="AD22" s="13">
        <f>SUM($AC$22:$AC$22)</f>
        <v>-92.110174224351184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BE'!$AH$58</f>
        <v>-0.39599063408162205</v>
      </c>
      <c r="AI22" s="13">
        <f>'TUSD BE'!$AI$22*'TUSD BE'!$AI$58</f>
        <v>0</v>
      </c>
      <c r="AJ22" s="13">
        <f ca="1">'TUSD BE'!$AJ$22*'TUSD BE'!$AJ$58</f>
        <v>0</v>
      </c>
      <c r="AK22" s="13">
        <f ca="1">'TUSD BE'!$AK$22*'TUSD BE'!$AK$58</f>
        <v>0</v>
      </c>
      <c r="AL22" s="13">
        <f ca="1">SUM($AH$22:$AK$22)</f>
        <v>-0.39599063408162205</v>
      </c>
      <c r="AM22" s="13">
        <f ca="1">SUMIF($L$4:$AL$4,"SUBTOTAL",$L$22:$AL$22)</f>
        <v>-95.733886172384416</v>
      </c>
      <c r="AO22" s="20">
        <f ca="1">+'TUSD BE'!$T$22+'TUSD BE'!$AB$22+'TUSD BE'!$AD$22+'TUSD BE'!$AL$22</f>
        <v>651.6600822670348</v>
      </c>
      <c r="AP22" s="20">
        <f ca="1">+'TUSD BE'!$T$22+'TUSD BE'!$AB$22+'TUSD BE'!$AD$22+'TUSD BE'!$AL$22</f>
        <v>651.6600822670348</v>
      </c>
    </row>
    <row r="23" spans="1:42" ht="11.25" customHeight="1" x14ac:dyDescent="0.3">
      <c r="A23" s="92"/>
      <c r="B23" s="92"/>
      <c r="C23" s="92"/>
      <c r="D23" s="17" t="s">
        <v>31</v>
      </c>
      <c r="E23" s="17" t="s">
        <v>25</v>
      </c>
      <c r="F23" s="17" t="s">
        <v>25</v>
      </c>
      <c r="G23" s="18" t="s">
        <v>75</v>
      </c>
      <c r="H23" s="18" t="s">
        <v>69</v>
      </c>
      <c r="I23" s="18">
        <f>'MERCADO TUSD'!$U$20</f>
        <v>116.22800000000001</v>
      </c>
      <c r="J23" s="15"/>
      <c r="L23" s="13">
        <f>'TUSD BE'!$L$23*'TUSD BE'!$L$58</f>
        <v>0</v>
      </c>
      <c r="M23" s="13">
        <f>'TUSD BE'!$M$23*'TUSD BE'!$M$58</f>
        <v>-2.2657363822565332E-2</v>
      </c>
      <c r="N23" s="13">
        <f ca="1">'TUSD BE'!$N$23*'TUSD BE'!$N$58</f>
        <v>0</v>
      </c>
      <c r="O23" s="13">
        <f>'TUSD BE'!$O$23*'TUSD BE'!$O$58</f>
        <v>0</v>
      </c>
      <c r="P23" s="13">
        <f>'TUSD BE'!$P$23*'TUSD BE'!$P$58</f>
        <v>0</v>
      </c>
      <c r="Q23" s="13">
        <f>'TUSD BE'!$Q$23*'TUSD BE'!$Q$58</f>
        <v>0</v>
      </c>
      <c r="R23" s="13">
        <f>'TUSD BE'!$R$23*'TUSD BE'!$R$58</f>
        <v>0</v>
      </c>
      <c r="S23" s="13">
        <f>'TUSD BE'!$R$23*'TUSD BE'!$S$58</f>
        <v>0</v>
      </c>
      <c r="T23" s="13">
        <f ca="1">SUM($L$23:$S$23)</f>
        <v>-2.2657363822565332E-2</v>
      </c>
      <c r="U23" s="13">
        <f>'TUSD BE'!$U$23*'TUSD BE'!$U$58</f>
        <v>0</v>
      </c>
      <c r="V23" s="13">
        <f>'TUSD BE'!$V$23*'TUSD BE'!$V$58</f>
        <v>0</v>
      </c>
      <c r="W23" s="13">
        <f>'TUSD BE'!$W$23*'TUSD BE'!$W$58</f>
        <v>0</v>
      </c>
      <c r="X23" s="13">
        <f>'TUSD BE'!$X$23*'TUSD BE'!$X$58</f>
        <v>0</v>
      </c>
      <c r="Y23" s="13">
        <f>'TUSD BE'!$Y$23*'TUSD BE'!$Y$58</f>
        <v>-3.2050639501290359</v>
      </c>
      <c r="Z23" s="13">
        <f>'TUSD BE'!$Z$23*'TUSD BE'!$Z$58</f>
        <v>0</v>
      </c>
      <c r="AA23" s="13">
        <f>'TUSD BE'!$AA$23*'TUSD BE'!$AA$58</f>
        <v>0</v>
      </c>
      <c r="AB23" s="13">
        <f>SUM($U$23:$AA$23)</f>
        <v>-3.2050639501290359</v>
      </c>
      <c r="AC23" s="13">
        <f>'TUSD BE'!$AC$23*'TUSD BE'!$AC$58</f>
        <v>-92.110174224351184</v>
      </c>
      <c r="AD23" s="13">
        <f>SUM($AC$23:$AC$23)</f>
        <v>-92.110174224351184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BE'!$AH$58</f>
        <v>-0.39599063408162205</v>
      </c>
      <c r="AI23" s="13">
        <f>'TUSD BE'!$AI$23*'TUSD BE'!$AI$58</f>
        <v>0</v>
      </c>
      <c r="AJ23" s="13">
        <f ca="1">'TUSD BE'!$AJ$23*'TUSD BE'!$AJ$58</f>
        <v>0</v>
      </c>
      <c r="AK23" s="13">
        <f ca="1">'TUSD BE'!$AK$23*'TUSD BE'!$AK$58</f>
        <v>0</v>
      </c>
      <c r="AL23" s="13">
        <f ca="1">SUM($AH$23:$AK$23)</f>
        <v>-0.39599063408162205</v>
      </c>
      <c r="AM23" s="13">
        <f ca="1">SUMIF($L$4:$AL$4,"SUBTOTAL",$L$23:$AL$23)</f>
        <v>-95.733886172384416</v>
      </c>
      <c r="AO23" s="20">
        <f ca="1">+'TUSD BE'!$T$23+'TUSD BE'!$AB$23+'TUSD BE'!$AD$23+'TUSD BE'!$AL$23</f>
        <v>651.6600822670348</v>
      </c>
      <c r="AP23" s="20">
        <f ca="1">+'TUSD BE'!$T$23+'TUSD BE'!$AB$23+'TUSD BE'!$AD$23+'TUSD BE'!$AL$23</f>
        <v>651.6600822670348</v>
      </c>
    </row>
    <row r="24" spans="1:42" ht="11.25" customHeight="1" x14ac:dyDescent="0.3">
      <c r="A24" s="92"/>
      <c r="B24" s="92"/>
      <c r="C24" s="92"/>
      <c r="D24" s="17" t="s">
        <v>32</v>
      </c>
      <c r="E24" s="17" t="s">
        <v>25</v>
      </c>
      <c r="F24" s="17" t="s">
        <v>25</v>
      </c>
      <c r="G24" s="18" t="s">
        <v>75</v>
      </c>
      <c r="H24" s="18" t="s">
        <v>69</v>
      </c>
      <c r="I24" s="18">
        <f>'MERCADO TUSD'!$U$21</f>
        <v>45.311999999999998</v>
      </c>
      <c r="J24" s="15"/>
      <c r="L24" s="13">
        <f>'TUSD BE'!$L$24*'TUSD BE'!$L$58</f>
        <v>0</v>
      </c>
      <c r="M24" s="13">
        <f>'TUSD BE'!$M$24*'TUSD BE'!$M$58</f>
        <v>-2.2657363822565332E-2</v>
      </c>
      <c r="N24" s="13">
        <f ca="1">'TUSD BE'!$N$24*'TUSD BE'!$N$58</f>
        <v>0</v>
      </c>
      <c r="O24" s="13">
        <f>'TUSD BE'!$O$24*'TUSD BE'!$O$58</f>
        <v>0</v>
      </c>
      <c r="P24" s="13">
        <f>'TUSD BE'!$P$24*'TUSD BE'!$P$58</f>
        <v>0</v>
      </c>
      <c r="Q24" s="13">
        <f>'TUSD BE'!$Q$24*'TUSD BE'!$Q$58</f>
        <v>0</v>
      </c>
      <c r="R24" s="13">
        <f>'TUSD BE'!$R$24*'TUSD BE'!$R$58</f>
        <v>0</v>
      </c>
      <c r="S24" s="13">
        <f>'TUSD BE'!$R$24*'TUSD BE'!$S$58</f>
        <v>0</v>
      </c>
      <c r="T24" s="13">
        <f ca="1">SUM($L$24:$S$24)</f>
        <v>-2.2657363822565332E-2</v>
      </c>
      <c r="U24" s="13">
        <f>'TUSD BE'!$U$24*'TUSD BE'!$U$58</f>
        <v>0</v>
      </c>
      <c r="V24" s="13">
        <f>'TUSD BE'!$V$24*'TUSD BE'!$V$58</f>
        <v>0</v>
      </c>
      <c r="W24" s="13">
        <f>'TUSD BE'!$W$24*'TUSD BE'!$W$58</f>
        <v>0</v>
      </c>
      <c r="X24" s="13">
        <f>'TUSD BE'!$X$24*'TUSD BE'!$X$58</f>
        <v>0</v>
      </c>
      <c r="Y24" s="13">
        <f>'TUSD BE'!$Y$24*'TUSD BE'!$Y$58</f>
        <v>-3.2050639501290359</v>
      </c>
      <c r="Z24" s="13">
        <f>'TUSD BE'!$Z$24*'TUSD BE'!$Z$58</f>
        <v>0</v>
      </c>
      <c r="AA24" s="13">
        <f>'TUSD BE'!$AA$24*'TUSD BE'!$AA$58</f>
        <v>0</v>
      </c>
      <c r="AB24" s="13">
        <f>SUM($U$24:$AA$24)</f>
        <v>-3.2050639501290359</v>
      </c>
      <c r="AC24" s="13">
        <f>'TUSD BE'!$AC$24*'TUSD BE'!$AC$58</f>
        <v>-92.110174224351184</v>
      </c>
      <c r="AD24" s="13">
        <f>SUM($AC$24:$AC$24)</f>
        <v>-92.110174224351184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BE'!$AH$58</f>
        <v>-0.39599063408162205</v>
      </c>
      <c r="AI24" s="13">
        <f>'TUSD BE'!$AI$24*'TUSD BE'!$AI$58</f>
        <v>0</v>
      </c>
      <c r="AJ24" s="13">
        <f ca="1">'TUSD BE'!$AJ$24*'TUSD BE'!$AJ$58</f>
        <v>0</v>
      </c>
      <c r="AK24" s="13">
        <f ca="1">'TUSD BE'!$AK$24*'TUSD BE'!$AK$58</f>
        <v>0</v>
      </c>
      <c r="AL24" s="13">
        <f ca="1">SUM($AH$24:$AK$24)</f>
        <v>-0.39599063408162205</v>
      </c>
      <c r="AM24" s="13">
        <f ca="1">SUMIF($L$4:$AL$4,"SUBTOTAL",$L$24:$AL$24)</f>
        <v>-95.733886172384416</v>
      </c>
      <c r="AO24" s="20">
        <f ca="1">+'TUSD BE'!$T$24+'TUSD BE'!$AB$24+'TUSD BE'!$AD$24+'TUSD BE'!$AL$24</f>
        <v>651.6600822670348</v>
      </c>
      <c r="AP24" s="20">
        <f ca="1">+'TUSD BE'!$T$24+'TUSD BE'!$AB$24+'TUSD BE'!$AD$24+'TUSD BE'!$AL$24</f>
        <v>651.6600822670348</v>
      </c>
    </row>
    <row r="25" spans="1:42" ht="11.25" customHeight="1" x14ac:dyDescent="0.3">
      <c r="A25" s="92"/>
      <c r="B25" s="92" t="s">
        <v>84</v>
      </c>
      <c r="C25" s="92" t="s">
        <v>24</v>
      </c>
      <c r="D25" s="17" t="s">
        <v>24</v>
      </c>
      <c r="E25" s="17" t="s">
        <v>25</v>
      </c>
      <c r="F25" s="17" t="s">
        <v>25</v>
      </c>
      <c r="G25" s="18" t="s">
        <v>75</v>
      </c>
      <c r="H25" s="18" t="s">
        <v>69</v>
      </c>
      <c r="I25" s="18">
        <f>'MERCADO TUSD'!$U$22</f>
        <v>0</v>
      </c>
      <c r="J25" s="15"/>
      <c r="L25" s="13">
        <f>'TUSD BE'!$L$25*'TUSD BE'!$L$58</f>
        <v>0</v>
      </c>
      <c r="M25" s="13">
        <f>'TUSD BE'!$M$25*'TUSD BE'!$M$58</f>
        <v>-2.2657363822565332E-2</v>
      </c>
      <c r="N25" s="13">
        <f ca="1">'TUSD BE'!$N$25*'TUSD BE'!$N$58</f>
        <v>0</v>
      </c>
      <c r="O25" s="13">
        <f>'TUSD BE'!$O$25*'TUSD BE'!$O$58</f>
        <v>0</v>
      </c>
      <c r="P25" s="13">
        <f>'TUSD BE'!$P$25*'TUSD BE'!$P$58</f>
        <v>0</v>
      </c>
      <c r="Q25" s="13">
        <f>'TUSD BE'!$Q$25*'TUSD BE'!$Q$58</f>
        <v>-0.75544384428640787</v>
      </c>
      <c r="R25" s="13">
        <f>'TUSD BE'!$R$25*'TUSD BE'!$R$58</f>
        <v>-0.12020486061023399</v>
      </c>
      <c r="S25" s="13">
        <f>'TUSD BE'!$R$25*'TUSD BE'!$S$58</f>
        <v>0</v>
      </c>
      <c r="T25" s="13">
        <f ca="1">SUM($L$25:$S$25)</f>
        <v>-0.89830606871920715</v>
      </c>
      <c r="U25" s="13">
        <f>'TUSD BE'!$U$25*'TUSD BE'!$U$58</f>
        <v>0</v>
      </c>
      <c r="V25" s="13">
        <f>'TUSD BE'!$V$25*'TUSD BE'!$V$58</f>
        <v>0</v>
      </c>
      <c r="W25" s="13">
        <f>'TUSD BE'!$W$25*'TUSD BE'!$W$58</f>
        <v>0</v>
      </c>
      <c r="X25" s="13">
        <f>'TUSD BE'!$X$25*'TUSD BE'!$X$58</f>
        <v>0</v>
      </c>
      <c r="Y25" s="13">
        <f>'TUSD BE'!$Y$25*'TUSD BE'!$Y$58</f>
        <v>-3.2050639501290359</v>
      </c>
      <c r="Z25" s="13">
        <f>'TUSD BE'!$Z$25*'TUSD BE'!$Z$58</f>
        <v>0</v>
      </c>
      <c r="AA25" s="13">
        <f>'TUSD BE'!$AA$25*'TUSD BE'!$AA$58</f>
        <v>0</v>
      </c>
      <c r="AB25" s="13">
        <f>SUM($U$25:$AA$25)</f>
        <v>-3.2050639501290359</v>
      </c>
      <c r="AC25" s="13">
        <f>'TUSD BE'!$AC$25*'TUSD BE'!$AC$58</f>
        <v>-92.110174224351184</v>
      </c>
      <c r="AD25" s="13">
        <f>SUM($AC$25:$AC$25)</f>
        <v>-92.110174224351184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BE'!$AH$58</f>
        <v>-0.39599063408162205</v>
      </c>
      <c r="AI25" s="13">
        <f>'TUSD BE'!$AI$25*'TUSD BE'!$AI$58</f>
        <v>0</v>
      </c>
      <c r="AJ25" s="13">
        <f ca="1">'TUSD BE'!$AJ$25*'TUSD BE'!$AJ$58</f>
        <v>0</v>
      </c>
      <c r="AK25" s="13">
        <f ca="1">'TUSD BE'!$AK$25*'TUSD BE'!$AK$58</f>
        <v>0</v>
      </c>
      <c r="AL25" s="13">
        <f ca="1">SUM($AH$25:$AK$25)</f>
        <v>-0.39599063408162205</v>
      </c>
      <c r="AM25" s="13">
        <f ca="1">SUMIF($L$4:$AL$4,"SUBTOTAL",$L$25:$AL$25)</f>
        <v>-96.60953487728105</v>
      </c>
      <c r="AO25" s="20">
        <f ca="1">+'TUSD BE'!$T$25+'TUSD BE'!$AB$25+'TUSD BE'!$AD$25+'TUSD BE'!$AL$25</f>
        <v>756.32608161848884</v>
      </c>
      <c r="AP25" s="20">
        <f ca="1">+'TUSD BE'!$T$25+'TUSD BE'!$AB$25+'TUSD BE'!$AD$25+'TUSD BE'!$AL$25</f>
        <v>756.32608161848884</v>
      </c>
    </row>
    <row r="26" spans="1:42" ht="11.25" customHeight="1" x14ac:dyDescent="0.3">
      <c r="A26" s="92"/>
      <c r="B26" s="92"/>
      <c r="C26" s="92"/>
      <c r="D26" s="17" t="s">
        <v>29</v>
      </c>
      <c r="E26" s="17" t="s">
        <v>25</v>
      </c>
      <c r="F26" s="17" t="s">
        <v>25</v>
      </c>
      <c r="G26" s="18" t="s">
        <v>75</v>
      </c>
      <c r="H26" s="18" t="s">
        <v>69</v>
      </c>
      <c r="I26" s="18">
        <f>'MERCADO TUSD'!$U$23</f>
        <v>0</v>
      </c>
      <c r="J26" s="15"/>
      <c r="L26" s="13">
        <f>'TUSD BE'!$L$26*'TUSD BE'!$L$58</f>
        <v>0</v>
      </c>
      <c r="M26" s="13">
        <f>'TUSD BE'!$M$26*'TUSD BE'!$M$58</f>
        <v>-2.2657363822565332E-2</v>
      </c>
      <c r="N26" s="13">
        <f ca="1">'TUSD BE'!$N$26*'TUSD BE'!$N$58</f>
        <v>0</v>
      </c>
      <c r="O26" s="13">
        <f>'TUSD BE'!$O$26*'TUSD BE'!$O$58</f>
        <v>0</v>
      </c>
      <c r="P26" s="13">
        <f>'TUSD BE'!$P$26*'TUSD BE'!$P$58</f>
        <v>0</v>
      </c>
      <c r="Q26" s="13">
        <f>'TUSD BE'!$Q$26*'TUSD BE'!$Q$58</f>
        <v>0</v>
      </c>
      <c r="R26" s="13">
        <f>'TUSD BE'!$R$26*'TUSD BE'!$R$58</f>
        <v>0</v>
      </c>
      <c r="S26" s="13">
        <f>'TUSD BE'!$R$26*'TUSD BE'!$S$58</f>
        <v>0</v>
      </c>
      <c r="T26" s="13">
        <f ca="1">SUM($L$26:$S$26)</f>
        <v>-2.2657363822565332E-2</v>
      </c>
      <c r="U26" s="13">
        <f>'TUSD BE'!$U$26*'TUSD BE'!$U$58</f>
        <v>0</v>
      </c>
      <c r="V26" s="13">
        <f>'TUSD BE'!$V$26*'TUSD BE'!$V$58</f>
        <v>0</v>
      </c>
      <c r="W26" s="13">
        <f>'TUSD BE'!$W$26*'TUSD BE'!$W$58</f>
        <v>0</v>
      </c>
      <c r="X26" s="13">
        <f>'TUSD BE'!$X$26*'TUSD BE'!$X$58</f>
        <v>0</v>
      </c>
      <c r="Y26" s="13">
        <f>'TUSD BE'!$Y$26*'TUSD BE'!$Y$58</f>
        <v>-3.2050639501290359</v>
      </c>
      <c r="Z26" s="13">
        <f>'TUSD BE'!$Z$26*'TUSD BE'!$Z$58</f>
        <v>0</v>
      </c>
      <c r="AA26" s="13">
        <f>'TUSD BE'!$AA$26*'TUSD BE'!$AA$58</f>
        <v>0</v>
      </c>
      <c r="AB26" s="13">
        <f>SUM($U$26:$AA$26)</f>
        <v>-3.2050639501290359</v>
      </c>
      <c r="AC26" s="13">
        <f>'TUSD BE'!$AC$26*'TUSD BE'!$AC$58</f>
        <v>-92.110174224351184</v>
      </c>
      <c r="AD26" s="13">
        <f>SUM($AC$26:$AC$26)</f>
        <v>-92.110174224351184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BE'!$AH$58</f>
        <v>-0.39599063408162205</v>
      </c>
      <c r="AI26" s="13">
        <f>'TUSD BE'!$AI$26*'TUSD BE'!$AI$58</f>
        <v>0</v>
      </c>
      <c r="AJ26" s="13">
        <f ca="1">'TUSD BE'!$AJ$26*'TUSD BE'!$AJ$58</f>
        <v>0</v>
      </c>
      <c r="AK26" s="13">
        <f ca="1">'TUSD BE'!$AK$26*'TUSD BE'!$AK$58</f>
        <v>0</v>
      </c>
      <c r="AL26" s="13">
        <f ca="1">SUM($AH$26:$AK$26)</f>
        <v>-0.39599063408162205</v>
      </c>
      <c r="AM26" s="13">
        <f ca="1">SUMIF($L$4:$AL$4,"SUBTOTAL",$L$26:$AL$26)</f>
        <v>-95.733886172384416</v>
      </c>
      <c r="AO26" s="20">
        <f ca="1">+'TUSD BE'!$T$26+'TUSD BE'!$AB$26+'TUSD BE'!$AD$26+'TUSD BE'!$AL$26</f>
        <v>651.6600822670348</v>
      </c>
      <c r="AP26" s="20">
        <f ca="1">+'TUSD BE'!$T$26+'TUSD BE'!$AB$26+'TUSD BE'!$AD$26+'TUSD BE'!$AL$26</f>
        <v>651.6600822670348</v>
      </c>
    </row>
    <row r="27" spans="1:42" ht="11.25" customHeight="1" x14ac:dyDescent="0.3">
      <c r="A27" s="92"/>
      <c r="B27" s="92"/>
      <c r="C27" s="92"/>
      <c r="D27" s="17" t="s">
        <v>30</v>
      </c>
      <c r="E27" s="17" t="s">
        <v>25</v>
      </c>
      <c r="F27" s="17" t="s">
        <v>25</v>
      </c>
      <c r="G27" s="18" t="s">
        <v>75</v>
      </c>
      <c r="H27" s="18" t="s">
        <v>69</v>
      </c>
      <c r="I27" s="18">
        <f>'MERCADO TUSD'!$U$24</f>
        <v>0</v>
      </c>
      <c r="J27" s="15"/>
      <c r="L27" s="13">
        <f>'TUSD BE'!$L$27*'TUSD BE'!$L$58</f>
        <v>0</v>
      </c>
      <c r="M27" s="13">
        <f>'TUSD BE'!$M$27*'TUSD BE'!$M$58</f>
        <v>-2.2657363822565332E-2</v>
      </c>
      <c r="N27" s="13">
        <f ca="1">'TUSD BE'!$N$27*'TUSD BE'!$N$58</f>
        <v>0</v>
      </c>
      <c r="O27" s="13">
        <f>'TUSD BE'!$O$27*'TUSD BE'!$O$58</f>
        <v>0</v>
      </c>
      <c r="P27" s="13">
        <f>'TUSD BE'!$P$27*'TUSD BE'!$P$58</f>
        <v>0</v>
      </c>
      <c r="Q27" s="13">
        <f>'TUSD BE'!$Q$27*'TUSD BE'!$Q$58</f>
        <v>0</v>
      </c>
      <c r="R27" s="13">
        <f>'TUSD BE'!$R$27*'TUSD BE'!$R$58</f>
        <v>0</v>
      </c>
      <c r="S27" s="13">
        <f>'TUSD BE'!$R$27*'TUSD BE'!$S$58</f>
        <v>0</v>
      </c>
      <c r="T27" s="13">
        <f ca="1">SUM($L$27:$S$27)</f>
        <v>-2.2657363822565332E-2</v>
      </c>
      <c r="U27" s="13">
        <f>'TUSD BE'!$U$27*'TUSD BE'!$U$58</f>
        <v>0</v>
      </c>
      <c r="V27" s="13">
        <f>'TUSD BE'!$V$27*'TUSD BE'!$V$58</f>
        <v>0</v>
      </c>
      <c r="W27" s="13">
        <f>'TUSD BE'!$W$27*'TUSD BE'!$W$58</f>
        <v>0</v>
      </c>
      <c r="X27" s="13">
        <f>'TUSD BE'!$X$27*'TUSD BE'!$X$58</f>
        <v>0</v>
      </c>
      <c r="Y27" s="13">
        <f>'TUSD BE'!$Y$27*'TUSD BE'!$Y$58</f>
        <v>-3.2050639501290359</v>
      </c>
      <c r="Z27" s="13">
        <f>'TUSD BE'!$Z$27*'TUSD BE'!$Z$58</f>
        <v>0</v>
      </c>
      <c r="AA27" s="13">
        <f>'TUSD BE'!$AA$27*'TUSD BE'!$AA$58</f>
        <v>0</v>
      </c>
      <c r="AB27" s="13">
        <f>SUM($U$27:$AA$27)</f>
        <v>-3.2050639501290359</v>
      </c>
      <c r="AC27" s="13">
        <f>'TUSD BE'!$AC$27*'TUSD BE'!$AC$58</f>
        <v>-92.110174224351184</v>
      </c>
      <c r="AD27" s="13">
        <f>SUM($AC$27:$AC$27)</f>
        <v>-92.110174224351184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BE'!$AH$58</f>
        <v>-0.39599063408162205</v>
      </c>
      <c r="AI27" s="13">
        <f>'TUSD BE'!$AI$27*'TUSD BE'!$AI$58</f>
        <v>0</v>
      </c>
      <c r="AJ27" s="13">
        <f ca="1">'TUSD BE'!$AJ$27*'TUSD BE'!$AJ$58</f>
        <v>0</v>
      </c>
      <c r="AK27" s="13">
        <f ca="1">'TUSD BE'!$AK$27*'TUSD BE'!$AK$58</f>
        <v>0</v>
      </c>
      <c r="AL27" s="13">
        <f ca="1">SUM($AH$27:$AK$27)</f>
        <v>-0.39599063408162205</v>
      </c>
      <c r="AM27" s="13">
        <f ca="1">SUMIF($L$4:$AL$4,"SUBTOTAL",$L$27:$AL$27)</f>
        <v>-95.733886172384416</v>
      </c>
      <c r="AO27" s="20">
        <f ca="1">+'TUSD BE'!$T$27+'TUSD BE'!$AB$27+'TUSD BE'!$AD$27+'TUSD BE'!$AL$27</f>
        <v>651.6600822670348</v>
      </c>
      <c r="AP27" s="20">
        <f ca="1">+'TUSD BE'!$T$27+'TUSD BE'!$AB$27+'TUSD BE'!$AD$27+'TUSD BE'!$AL$27</f>
        <v>651.6600822670348</v>
      </c>
    </row>
    <row r="28" spans="1:42" ht="11.25" customHeight="1" x14ac:dyDescent="0.3">
      <c r="A28" s="92"/>
      <c r="B28" s="92"/>
      <c r="C28" s="92"/>
      <c r="D28" s="17" t="s">
        <v>31</v>
      </c>
      <c r="E28" s="17" t="s">
        <v>25</v>
      </c>
      <c r="F28" s="17" t="s">
        <v>25</v>
      </c>
      <c r="G28" s="18" t="s">
        <v>75</v>
      </c>
      <c r="H28" s="18" t="s">
        <v>69</v>
      </c>
      <c r="I28" s="18">
        <f>'MERCADO TUSD'!$U$25</f>
        <v>0</v>
      </c>
      <c r="J28" s="15"/>
      <c r="L28" s="13">
        <f>'TUSD BE'!$L$28*'TUSD BE'!$L$58</f>
        <v>0</v>
      </c>
      <c r="M28" s="13">
        <f>'TUSD BE'!$M$28*'TUSD BE'!$M$58</f>
        <v>-2.2657363822565332E-2</v>
      </c>
      <c r="N28" s="13">
        <f ca="1">'TUSD BE'!$N$28*'TUSD BE'!$N$58</f>
        <v>0</v>
      </c>
      <c r="O28" s="13">
        <f>'TUSD BE'!$O$28*'TUSD BE'!$O$58</f>
        <v>0</v>
      </c>
      <c r="P28" s="13">
        <f>'TUSD BE'!$P$28*'TUSD BE'!$P$58</f>
        <v>0</v>
      </c>
      <c r="Q28" s="13">
        <f>'TUSD BE'!$Q$28*'TUSD BE'!$Q$58</f>
        <v>0</v>
      </c>
      <c r="R28" s="13">
        <f>'TUSD BE'!$R$28*'TUSD BE'!$R$58</f>
        <v>0</v>
      </c>
      <c r="S28" s="13">
        <f>'TUSD BE'!$R$28*'TUSD BE'!$S$58</f>
        <v>0</v>
      </c>
      <c r="T28" s="13">
        <f ca="1">SUM($L$28:$S$28)</f>
        <v>-2.2657363822565332E-2</v>
      </c>
      <c r="U28" s="13">
        <f>'TUSD BE'!$U$28*'TUSD BE'!$U$58</f>
        <v>0</v>
      </c>
      <c r="V28" s="13">
        <f>'TUSD BE'!$V$28*'TUSD BE'!$V$58</f>
        <v>0</v>
      </c>
      <c r="W28" s="13">
        <f>'TUSD BE'!$W$28*'TUSD BE'!$W$58</f>
        <v>0</v>
      </c>
      <c r="X28" s="13">
        <f>'TUSD BE'!$X$28*'TUSD BE'!$X$58</f>
        <v>0</v>
      </c>
      <c r="Y28" s="13">
        <f>'TUSD BE'!$Y$28*'TUSD BE'!$Y$58</f>
        <v>-3.2050639501290359</v>
      </c>
      <c r="Z28" s="13">
        <f>'TUSD BE'!$Z$28*'TUSD BE'!$Z$58</f>
        <v>0</v>
      </c>
      <c r="AA28" s="13">
        <f>'TUSD BE'!$AA$28*'TUSD BE'!$AA$58</f>
        <v>0</v>
      </c>
      <c r="AB28" s="13">
        <f>SUM($U$28:$AA$28)</f>
        <v>-3.2050639501290359</v>
      </c>
      <c r="AC28" s="13">
        <f>'TUSD BE'!$AC$28*'TUSD BE'!$AC$58</f>
        <v>-92.110174224351184</v>
      </c>
      <c r="AD28" s="13">
        <f>SUM($AC$28:$AC$28)</f>
        <v>-92.110174224351184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BE'!$AH$58</f>
        <v>-0.39599063408162205</v>
      </c>
      <c r="AI28" s="13">
        <f>'TUSD BE'!$AI$28*'TUSD BE'!$AI$58</f>
        <v>0</v>
      </c>
      <c r="AJ28" s="13">
        <f ca="1">'TUSD BE'!$AJ$28*'TUSD BE'!$AJ$58</f>
        <v>0</v>
      </c>
      <c r="AK28" s="13">
        <f ca="1">'TUSD BE'!$AK$28*'TUSD BE'!$AK$58</f>
        <v>0</v>
      </c>
      <c r="AL28" s="13">
        <f ca="1">SUM($AH$28:$AK$28)</f>
        <v>-0.39599063408162205</v>
      </c>
      <c r="AM28" s="13">
        <f ca="1">SUMIF($L$4:$AL$4,"SUBTOTAL",$L$28:$AL$28)</f>
        <v>-95.733886172384416</v>
      </c>
      <c r="AO28" s="20">
        <f ca="1">+'TUSD BE'!$T$28+'TUSD BE'!$AB$28+'TUSD BE'!$AD$28+'TUSD BE'!$AL$28</f>
        <v>651.6600822670348</v>
      </c>
      <c r="AP28" s="20">
        <f ca="1">+'TUSD BE'!$T$28+'TUSD BE'!$AB$28+'TUSD BE'!$AD$28+'TUSD BE'!$AL$28</f>
        <v>651.6600822670348</v>
      </c>
    </row>
    <row r="29" spans="1:42" ht="11.25" customHeight="1" x14ac:dyDescent="0.3">
      <c r="A29" s="92"/>
      <c r="B29" s="92"/>
      <c r="C29" s="92"/>
      <c r="D29" s="17" t="s">
        <v>32</v>
      </c>
      <c r="E29" s="17" t="s">
        <v>25</v>
      </c>
      <c r="F29" s="17" t="s">
        <v>25</v>
      </c>
      <c r="G29" s="18" t="s">
        <v>75</v>
      </c>
      <c r="H29" s="18" t="s">
        <v>69</v>
      </c>
      <c r="I29" s="18">
        <f>'MERCADO TUSD'!$U$26</f>
        <v>0</v>
      </c>
      <c r="J29" s="15"/>
      <c r="L29" s="13">
        <f>'TUSD BE'!$L$29*'TUSD BE'!$L$58</f>
        <v>0</v>
      </c>
      <c r="M29" s="13">
        <f>'TUSD BE'!$M$29*'TUSD BE'!$M$58</f>
        <v>-2.2657363822565332E-2</v>
      </c>
      <c r="N29" s="13">
        <f ca="1">'TUSD BE'!$N$29*'TUSD BE'!$N$58</f>
        <v>0</v>
      </c>
      <c r="O29" s="13">
        <f>'TUSD BE'!$O$29*'TUSD BE'!$O$58</f>
        <v>0</v>
      </c>
      <c r="P29" s="13">
        <f>'TUSD BE'!$P$29*'TUSD BE'!$P$58</f>
        <v>0</v>
      </c>
      <c r="Q29" s="13">
        <f>'TUSD BE'!$Q$29*'TUSD BE'!$Q$58</f>
        <v>0</v>
      </c>
      <c r="R29" s="13">
        <f>'TUSD BE'!$R$29*'TUSD BE'!$R$58</f>
        <v>0</v>
      </c>
      <c r="S29" s="13">
        <f>'TUSD BE'!$R$29*'TUSD BE'!$S$58</f>
        <v>0</v>
      </c>
      <c r="T29" s="13">
        <f ca="1">SUM($L$29:$S$29)</f>
        <v>-2.2657363822565332E-2</v>
      </c>
      <c r="U29" s="13">
        <f>'TUSD BE'!$U$29*'TUSD BE'!$U$58</f>
        <v>0</v>
      </c>
      <c r="V29" s="13">
        <f>'TUSD BE'!$V$29*'TUSD BE'!$V$58</f>
        <v>0</v>
      </c>
      <c r="W29" s="13">
        <f>'TUSD BE'!$W$29*'TUSD BE'!$W$58</f>
        <v>0</v>
      </c>
      <c r="X29" s="13">
        <f>'TUSD BE'!$X$29*'TUSD BE'!$X$58</f>
        <v>0</v>
      </c>
      <c r="Y29" s="13">
        <f>'TUSD BE'!$Y$29*'TUSD BE'!$Y$58</f>
        <v>-3.2050639501290359</v>
      </c>
      <c r="Z29" s="13">
        <f>'TUSD BE'!$Z$29*'TUSD BE'!$Z$58</f>
        <v>0</v>
      </c>
      <c r="AA29" s="13">
        <f>'TUSD BE'!$AA$29*'TUSD BE'!$AA$58</f>
        <v>0</v>
      </c>
      <c r="AB29" s="13">
        <f>SUM($U$29:$AA$29)</f>
        <v>-3.2050639501290359</v>
      </c>
      <c r="AC29" s="13">
        <f>'TUSD BE'!$AC$29*'TUSD BE'!$AC$58</f>
        <v>-92.110174224351184</v>
      </c>
      <c r="AD29" s="13">
        <f>SUM($AC$29:$AC$29)</f>
        <v>-92.110174224351184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BE'!$AH$58</f>
        <v>-0.39599063408162205</v>
      </c>
      <c r="AI29" s="13">
        <f>'TUSD BE'!$AI$29*'TUSD BE'!$AI$58</f>
        <v>0</v>
      </c>
      <c r="AJ29" s="13">
        <f ca="1">'TUSD BE'!$AJ$29*'TUSD BE'!$AJ$58</f>
        <v>0</v>
      </c>
      <c r="AK29" s="13">
        <f ca="1">'TUSD BE'!$AK$29*'TUSD BE'!$AK$58</f>
        <v>0</v>
      </c>
      <c r="AL29" s="13">
        <f ca="1">SUM($AH$29:$AK$29)</f>
        <v>-0.39599063408162205</v>
      </c>
      <c r="AM29" s="13">
        <f ca="1">SUMIF($L$4:$AL$4,"SUBTOTAL",$L$29:$AL$29)</f>
        <v>-95.733886172384416</v>
      </c>
      <c r="AO29" s="20">
        <f ca="1">+'TUSD BE'!$T$29+'TUSD BE'!$AB$29+'TUSD BE'!$AD$29+'TUSD BE'!$AL$29</f>
        <v>651.6600822670348</v>
      </c>
      <c r="AP29" s="20">
        <f ca="1">+'TUSD BE'!$T$29+'TUSD BE'!$AB$29+'TUSD BE'!$AD$29+'TUSD BE'!$AL$29</f>
        <v>651.6600822670348</v>
      </c>
    </row>
    <row r="30" spans="1:42" ht="11.25" customHeight="1" x14ac:dyDescent="0.3">
      <c r="A30" s="92" t="s">
        <v>42</v>
      </c>
      <c r="B30" s="92" t="s">
        <v>39</v>
      </c>
      <c r="C30" s="92" t="s">
        <v>43</v>
      </c>
      <c r="D30" s="92" t="s">
        <v>25</v>
      </c>
      <c r="E30" s="92" t="s">
        <v>25</v>
      </c>
      <c r="F30" s="92" t="s">
        <v>25</v>
      </c>
      <c r="G30" s="18" t="s">
        <v>70</v>
      </c>
      <c r="H30" s="18" t="s">
        <v>69</v>
      </c>
      <c r="I30" s="18">
        <f>'MERCADO TUSD'!$U$27</f>
        <v>0</v>
      </c>
      <c r="J30" s="15"/>
      <c r="L30" s="13">
        <f>'TUSD BE'!$L$30*'TUSD BE'!$L$58</f>
        <v>0</v>
      </c>
      <c r="M30" s="13">
        <f>'TUSD BE'!$M$30*'TUSD BE'!$M$58</f>
        <v>-2.2657363822565332E-2</v>
      </c>
      <c r="N30" s="13">
        <f ca="1">'TUSD BE'!$N$30*'TUSD BE'!$N$58</f>
        <v>0</v>
      </c>
      <c r="O30" s="13">
        <f>'TUSD BE'!$O$30*'TUSD BE'!$O$58</f>
        <v>0</v>
      </c>
      <c r="P30" s="13">
        <f>'TUSD BE'!$P$30*'TUSD BE'!$P$58</f>
        <v>0</v>
      </c>
      <c r="Q30" s="13">
        <f>'TUSD BE'!$Q$30*'TUSD BE'!$Q$58</f>
        <v>-0.75544384428640787</v>
      </c>
      <c r="R30" s="13">
        <f>'TUSD BE'!$R$30*'TUSD BE'!$R$58</f>
        <v>-0.12020486061023399</v>
      </c>
      <c r="S30" s="13">
        <f>'TUSD BE'!$R$30*'TUSD BE'!$S$58</f>
        <v>0</v>
      </c>
      <c r="T30" s="13">
        <f ca="1">SUM($L$30:$S$30)</f>
        <v>-0.89830606871920715</v>
      </c>
      <c r="U30" s="13">
        <f>'TUSD BE'!$U$30*'TUSD BE'!$U$58</f>
        <v>0</v>
      </c>
      <c r="V30" s="13">
        <f>'TUSD BE'!$V$30*'TUSD BE'!$V$58</f>
        <v>0</v>
      </c>
      <c r="W30" s="13">
        <f>'TUSD BE'!$W$30*'TUSD BE'!$W$58</f>
        <v>0</v>
      </c>
      <c r="X30" s="13">
        <f>'TUSD BE'!$X$30*'TUSD BE'!$X$58</f>
        <v>0</v>
      </c>
      <c r="Y30" s="13">
        <f>'TUSD BE'!$Y$30*'TUSD BE'!$Y$58</f>
        <v>-9.4530270448180964</v>
      </c>
      <c r="Z30" s="13">
        <f>'TUSD BE'!$Z$30*'TUSD BE'!$Z$58</f>
        <v>0</v>
      </c>
      <c r="AA30" s="13">
        <f>'TUSD BE'!$AA$30*'TUSD BE'!$AA$58</f>
        <v>0</v>
      </c>
      <c r="AB30" s="13">
        <f>SUM($U$30:$AA$30)</f>
        <v>-9.4530270448180964</v>
      </c>
      <c r="AC30" s="13">
        <f>'TUSD BE'!$AC$30*'TUSD BE'!$AC$58</f>
        <v>-271.7250040159613</v>
      </c>
      <c r="AD30" s="13">
        <f>SUM($AC$30:$AC$30)</f>
        <v>-271.7250040159613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BE'!$AH$58</f>
        <v>-0.39599063408162205</v>
      </c>
      <c r="AI30" s="13">
        <f>'TUSD BE'!$AI$30*'TUSD BE'!$AI$58</f>
        <v>0</v>
      </c>
      <c r="AJ30" s="13">
        <f ca="1">'TUSD BE'!$AJ$30*'TUSD BE'!$AJ$58</f>
        <v>0</v>
      </c>
      <c r="AK30" s="13">
        <f ca="1">'TUSD BE'!$AK$30*'TUSD BE'!$AK$58</f>
        <v>0</v>
      </c>
      <c r="AL30" s="13">
        <f ca="1">SUM($AH$30:$AK$30)</f>
        <v>-0.39599063408162205</v>
      </c>
      <c r="AM30" s="13">
        <f ca="1">SUMIF($L$4:$AL$4,"SUBTOTAL",$L$30:$AL$30)</f>
        <v>-282.47232776358021</v>
      </c>
      <c r="AO30" s="20">
        <f ca="1">+'TUSD BE'!$T$30+'TUSD BE'!$AB$30+'TUSD BE'!$AD$30+'TUSD BE'!$AL$30</f>
        <v>1980.5613511429631</v>
      </c>
      <c r="AP30" s="20">
        <f ca="1">+'TUSD BE'!$T$30+'TUSD BE'!$AB$30+'TUSD BE'!$AD$30+'TUSD BE'!$AL$30</f>
        <v>1980.5613511429631</v>
      </c>
    </row>
    <row r="31" spans="1:42" ht="11.25" customHeight="1" x14ac:dyDescent="0.3">
      <c r="A31" s="92"/>
      <c r="B31" s="92"/>
      <c r="C31" s="92"/>
      <c r="D31" s="92"/>
      <c r="E31" s="92"/>
      <c r="F31" s="92"/>
      <c r="G31" s="18" t="s">
        <v>81</v>
      </c>
      <c r="H31" s="18" t="s">
        <v>69</v>
      </c>
      <c r="I31" s="18">
        <f>'MERCADO TUSD'!$U$28</f>
        <v>0</v>
      </c>
      <c r="J31" s="15"/>
      <c r="L31" s="13">
        <f>'TUSD BE'!$L$31*'TUSD BE'!$L$58</f>
        <v>0</v>
      </c>
      <c r="M31" s="13">
        <f>'TUSD BE'!$M$31*'TUSD BE'!$M$58</f>
        <v>-2.2657363822565332E-2</v>
      </c>
      <c r="N31" s="13">
        <f ca="1">'TUSD BE'!$N$31*'TUSD BE'!$N$58</f>
        <v>0</v>
      </c>
      <c r="O31" s="13">
        <f>'TUSD BE'!$O$31*'TUSD BE'!$O$58</f>
        <v>0</v>
      </c>
      <c r="P31" s="13">
        <f>'TUSD BE'!$P$31*'TUSD BE'!$P$58</f>
        <v>0</v>
      </c>
      <c r="Q31" s="13">
        <f>'TUSD BE'!$Q$31*'TUSD BE'!$Q$58</f>
        <v>-0.75544384428640787</v>
      </c>
      <c r="R31" s="13">
        <f>'TUSD BE'!$R$31*'TUSD BE'!$R$58</f>
        <v>-0.12020486061023399</v>
      </c>
      <c r="S31" s="13">
        <f>'TUSD BE'!$R$31*'TUSD BE'!$S$58</f>
        <v>0</v>
      </c>
      <c r="T31" s="13">
        <f ca="1">SUM($L$31:$S$31)</f>
        <v>-0.89830606871920715</v>
      </c>
      <c r="U31" s="13">
        <f>'TUSD BE'!$U$31*'TUSD BE'!$U$58</f>
        <v>0</v>
      </c>
      <c r="V31" s="13">
        <f>'TUSD BE'!$V$31*'TUSD BE'!$V$58</f>
        <v>0</v>
      </c>
      <c r="W31" s="13">
        <f>'TUSD BE'!$W$31*'TUSD BE'!$W$58</f>
        <v>0</v>
      </c>
      <c r="X31" s="13">
        <f>'TUSD BE'!$X$31*'TUSD BE'!$X$58</f>
        <v>0</v>
      </c>
      <c r="Y31" s="13">
        <f>'TUSD BE'!$Y$31*'TUSD BE'!$Y$58</f>
        <v>-5.6703588269179983</v>
      </c>
      <c r="Z31" s="13">
        <f>'TUSD BE'!$Z$31*'TUSD BE'!$Z$58</f>
        <v>0</v>
      </c>
      <c r="AA31" s="13">
        <f>'TUSD BE'!$AA$31*'TUSD BE'!$AA$58</f>
        <v>0</v>
      </c>
      <c r="AB31" s="13">
        <f>SUM($U$31:$AA$31)</f>
        <v>-5.6703588269179983</v>
      </c>
      <c r="AC31" s="13">
        <f>'TUSD BE'!$AC$31*'TUSD BE'!$AC$58</f>
        <v>-163.035074743211</v>
      </c>
      <c r="AD31" s="13">
        <f>SUM($AC$31:$AC$31)</f>
        <v>-163.035074743211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BE'!$AH$58</f>
        <v>-0.39599063408162205</v>
      </c>
      <c r="AI31" s="13">
        <f>'TUSD BE'!$AI$31*'TUSD BE'!$AI$58</f>
        <v>0</v>
      </c>
      <c r="AJ31" s="13">
        <f ca="1">'TUSD BE'!$AJ$31*'TUSD BE'!$AJ$58</f>
        <v>0</v>
      </c>
      <c r="AK31" s="13">
        <f ca="1">'TUSD BE'!$AK$31*'TUSD BE'!$AK$58</f>
        <v>0</v>
      </c>
      <c r="AL31" s="13">
        <f ca="1">SUM($AH$31:$AK$31)</f>
        <v>-0.39599063408162205</v>
      </c>
      <c r="AM31" s="13">
        <f ca="1">SUMIF($L$4:$AL$4,"SUBTOTAL",$L$31:$AL$31)</f>
        <v>-169.99973027292981</v>
      </c>
      <c r="AO31" s="20">
        <f ca="1">+'TUSD BE'!$T$31+'TUSD BE'!$AB$31+'TUSD BE'!$AD$31+'TUSD BE'!$AL$31</f>
        <v>1239.6792771723142</v>
      </c>
      <c r="AP31" s="20">
        <f ca="1">+'TUSD BE'!$T$31+'TUSD BE'!$AB$31+'TUSD BE'!$AD$31+'TUSD BE'!$AL$31</f>
        <v>1239.6792771723142</v>
      </c>
    </row>
    <row r="32" spans="1:42" ht="11.25" customHeight="1" x14ac:dyDescent="0.3">
      <c r="A32" s="92"/>
      <c r="B32" s="92"/>
      <c r="C32" s="92"/>
      <c r="D32" s="92"/>
      <c r="E32" s="92"/>
      <c r="F32" s="92"/>
      <c r="G32" s="18" t="s">
        <v>71</v>
      </c>
      <c r="H32" s="18" t="s">
        <v>69</v>
      </c>
      <c r="I32" s="18">
        <f>'MERCADO TUSD'!$U$29</f>
        <v>0</v>
      </c>
      <c r="J32" s="15"/>
      <c r="L32" s="13">
        <f>'TUSD BE'!$L$32*'TUSD BE'!$L$58</f>
        <v>0</v>
      </c>
      <c r="M32" s="13">
        <f>'TUSD BE'!$M$32*'TUSD BE'!$M$58</f>
        <v>-2.2657363822565332E-2</v>
      </c>
      <c r="N32" s="13">
        <f ca="1">'TUSD BE'!$N$32*'TUSD BE'!$N$58</f>
        <v>0</v>
      </c>
      <c r="O32" s="13">
        <f>'TUSD BE'!$O$32*'TUSD BE'!$O$58</f>
        <v>0</v>
      </c>
      <c r="P32" s="13">
        <f>'TUSD BE'!$P$32*'TUSD BE'!$P$58</f>
        <v>0</v>
      </c>
      <c r="Q32" s="13">
        <f>'TUSD BE'!$Q$32*'TUSD BE'!$Q$58</f>
        <v>-0.75544384428640787</v>
      </c>
      <c r="R32" s="13">
        <f>'TUSD BE'!$R$32*'TUSD BE'!$R$58</f>
        <v>-0.12020486061023399</v>
      </c>
      <c r="S32" s="13">
        <f>'TUSD BE'!$R$32*'TUSD BE'!$S$58</f>
        <v>0</v>
      </c>
      <c r="T32" s="13">
        <f ca="1">SUM($L$32:$S$32)</f>
        <v>-0.89830606871920715</v>
      </c>
      <c r="U32" s="13">
        <f>'TUSD BE'!$U$32*'TUSD BE'!$U$58</f>
        <v>0</v>
      </c>
      <c r="V32" s="13">
        <f>'TUSD BE'!$V$32*'TUSD BE'!$V$58</f>
        <v>0</v>
      </c>
      <c r="W32" s="13">
        <f>'TUSD BE'!$W$32*'TUSD BE'!$W$58</f>
        <v>0</v>
      </c>
      <c r="X32" s="13">
        <f>'TUSD BE'!$X$32*'TUSD BE'!$X$58</f>
        <v>0</v>
      </c>
      <c r="Y32" s="13">
        <f>'TUSD BE'!$Y$32*'TUSD BE'!$Y$58</f>
        <v>-1.8913355991340703</v>
      </c>
      <c r="Z32" s="13">
        <f>'TUSD BE'!$Z$32*'TUSD BE'!$Z$58</f>
        <v>0</v>
      </c>
      <c r="AA32" s="13">
        <f>'TUSD BE'!$AA$32*'TUSD BE'!$AA$58</f>
        <v>0</v>
      </c>
      <c r="AB32" s="13">
        <f>SUM($U$32:$AA$32)</f>
        <v>-1.8913355991340703</v>
      </c>
      <c r="AC32" s="13">
        <f>'TUSD BE'!$AC$32*'TUSD BE'!$AC$58</f>
        <v>-54.34496463637516</v>
      </c>
      <c r="AD32" s="13">
        <f>SUM($AC$32:$AC$32)</f>
        <v>-54.34496463637516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BE'!$AH$58</f>
        <v>-0.39599063408162205</v>
      </c>
      <c r="AI32" s="13">
        <f>'TUSD BE'!$AI$32*'TUSD BE'!$AI$58</f>
        <v>0</v>
      </c>
      <c r="AJ32" s="13">
        <f ca="1">'TUSD BE'!$AJ$32*'TUSD BE'!$AJ$58</f>
        <v>0</v>
      </c>
      <c r="AK32" s="13">
        <f ca="1">'TUSD BE'!$AK$32*'TUSD BE'!$AK$58</f>
        <v>0</v>
      </c>
      <c r="AL32" s="13">
        <f ca="1">SUM($AH$32:$AK$32)</f>
        <v>-0.39599063408162205</v>
      </c>
      <c r="AM32" s="13">
        <f ca="1">SUMIF($L$4:$AL$4,"SUBTOTAL",$L$32:$AL$32)</f>
        <v>-57.530596938310055</v>
      </c>
      <c r="AO32" s="20">
        <f ca="1">+'TUSD BE'!$T$32+'TUSD BE'!$AB$32+'TUSD BE'!$AD$32+'TUSD BE'!$AL$32</f>
        <v>498.92069542053537</v>
      </c>
      <c r="AP32" s="20">
        <f ca="1">+'TUSD BE'!$T$32+'TUSD BE'!$AB$32+'TUSD BE'!$AD$32+'TUSD BE'!$AL$32</f>
        <v>498.92069542053537</v>
      </c>
    </row>
    <row r="33" spans="1:42" ht="11.25" customHeight="1" x14ac:dyDescent="0.3">
      <c r="A33" s="92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75</v>
      </c>
      <c r="H33" s="18" t="s">
        <v>69</v>
      </c>
      <c r="I33" s="18">
        <f>'MERCADO TUSD'!$U$30</f>
        <v>3371.0129999999999</v>
      </c>
      <c r="J33" s="15"/>
      <c r="L33" s="13">
        <f>'TUSD BE'!$L$33*'TUSD BE'!$L$58</f>
        <v>0</v>
      </c>
      <c r="M33" s="13">
        <f>'TUSD BE'!$M$33*'TUSD BE'!$M$58</f>
        <v>-2.2657363822565332E-2</v>
      </c>
      <c r="N33" s="13">
        <f ca="1">'TUSD BE'!$N$33*'TUSD BE'!$N$58</f>
        <v>0</v>
      </c>
      <c r="O33" s="13">
        <f>'TUSD BE'!$O$33*'TUSD BE'!$O$58</f>
        <v>0</v>
      </c>
      <c r="P33" s="13">
        <f>'TUSD BE'!$P$33*'TUSD BE'!$P$58</f>
        <v>0</v>
      </c>
      <c r="Q33" s="13">
        <f>'TUSD BE'!$Q$33*'TUSD BE'!$Q$58</f>
        <v>-0.75544384428640787</v>
      </c>
      <c r="R33" s="13">
        <f>'TUSD BE'!$R$33*'TUSD BE'!$R$58</f>
        <v>-0.12020486061023399</v>
      </c>
      <c r="S33" s="13">
        <f>'TUSD BE'!$R$33*'TUSD BE'!$S$58</f>
        <v>0</v>
      </c>
      <c r="T33" s="13">
        <f ca="1">SUM($L$33:$S$33)</f>
        <v>-0.89830606871920715</v>
      </c>
      <c r="U33" s="13">
        <f>'TUSD BE'!$U$33*'TUSD BE'!$U$58</f>
        <v>0</v>
      </c>
      <c r="V33" s="13">
        <f>'TUSD BE'!$V$33*'TUSD BE'!$V$58</f>
        <v>0</v>
      </c>
      <c r="W33" s="13">
        <f>'TUSD BE'!$W$33*'TUSD BE'!$W$58</f>
        <v>0</v>
      </c>
      <c r="X33" s="13">
        <f>'TUSD BE'!$X$33*'TUSD BE'!$X$58</f>
        <v>0</v>
      </c>
      <c r="Y33" s="13">
        <f>'TUSD BE'!$Y$33*'TUSD BE'!$Y$58</f>
        <v>-3.2050639501290359</v>
      </c>
      <c r="Z33" s="13">
        <f>'TUSD BE'!$Z$33*'TUSD BE'!$Z$58</f>
        <v>0</v>
      </c>
      <c r="AA33" s="13">
        <f>'TUSD BE'!$AA$33*'TUSD BE'!$AA$58</f>
        <v>0</v>
      </c>
      <c r="AB33" s="13">
        <f>SUM($U$33:$AA$33)</f>
        <v>-3.2050639501290359</v>
      </c>
      <c r="AC33" s="13">
        <f>'TUSD BE'!$AC$33*'TUSD BE'!$AC$58</f>
        <v>-92.110174224351184</v>
      </c>
      <c r="AD33" s="13">
        <f>SUM($AC$33:$AC$33)</f>
        <v>-92.110174224351184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BE'!$AH$58</f>
        <v>-0.39599063408162205</v>
      </c>
      <c r="AI33" s="13">
        <f>'TUSD BE'!$AI$33*'TUSD BE'!$AI$58</f>
        <v>0</v>
      </c>
      <c r="AJ33" s="13">
        <f ca="1">'TUSD BE'!$AJ$33*'TUSD BE'!$AJ$58</f>
        <v>0</v>
      </c>
      <c r="AK33" s="13">
        <f ca="1">'TUSD BE'!$AK$33*'TUSD BE'!$AK$58</f>
        <v>0</v>
      </c>
      <c r="AL33" s="13">
        <f ca="1">SUM($AH$33:$AK$33)</f>
        <v>-0.39599063408162205</v>
      </c>
      <c r="AM33" s="13">
        <f ca="1">SUMIF($L$4:$AL$4,"SUBTOTAL",$L$33:$AL$33)</f>
        <v>-96.60953487728105</v>
      </c>
      <c r="AO33" s="20">
        <f ca="1">+'TUSD BE'!$T$33+'TUSD BE'!$AB$33+'TUSD BE'!$AD$33+'TUSD BE'!$AL$33</f>
        <v>756.32608161848884</v>
      </c>
      <c r="AP33" s="20">
        <f ca="1">+'TUSD BE'!$T$33+'TUSD BE'!$AB$33+'TUSD BE'!$AD$33+'TUSD BE'!$AL$33</f>
        <v>756.32608161848884</v>
      </c>
    </row>
    <row r="34" spans="1:42" ht="11.25" customHeight="1" x14ac:dyDescent="0.3">
      <c r="A34" s="92"/>
      <c r="B34" s="92" t="s">
        <v>39</v>
      </c>
      <c r="C34" s="92" t="s">
        <v>43</v>
      </c>
      <c r="D34" s="92" t="s">
        <v>85</v>
      </c>
      <c r="E34" s="92" t="s">
        <v>25</v>
      </c>
      <c r="F34" s="92" t="s">
        <v>25</v>
      </c>
      <c r="G34" s="18" t="s">
        <v>70</v>
      </c>
      <c r="H34" s="18" t="s">
        <v>69</v>
      </c>
      <c r="I34" s="18">
        <f>'MERCADO TUSD'!$U$31</f>
        <v>0</v>
      </c>
      <c r="J34" s="15"/>
      <c r="L34" s="13">
        <f>'TUSD BE'!$L$34*'TUSD BE'!$L$58</f>
        <v>0</v>
      </c>
      <c r="M34" s="13">
        <f>'TUSD BE'!$M$34*'TUSD BE'!$M$58</f>
        <v>-2.2657363822565332E-2</v>
      </c>
      <c r="N34" s="13">
        <f ca="1">'TUSD BE'!$N$34*'TUSD BE'!$N$58</f>
        <v>0</v>
      </c>
      <c r="O34" s="13">
        <f>'TUSD BE'!$O$34*'TUSD BE'!$O$58</f>
        <v>0</v>
      </c>
      <c r="P34" s="13">
        <f>'TUSD BE'!$P$34*'TUSD BE'!$P$58</f>
        <v>0</v>
      </c>
      <c r="Q34" s="13">
        <f>'TUSD BE'!$Q$34*'TUSD BE'!$Q$58</f>
        <v>-0.75544384428640787</v>
      </c>
      <c r="R34" s="13">
        <f>'TUSD BE'!$R$34*'TUSD BE'!$R$58</f>
        <v>-0.12020486061023399</v>
      </c>
      <c r="S34" s="13">
        <f>'TUSD BE'!$R$34*'TUSD BE'!$S$58</f>
        <v>0</v>
      </c>
      <c r="T34" s="13">
        <f ca="1">SUM($L$34:$S$34)</f>
        <v>-0.89830606871920715</v>
      </c>
      <c r="U34" s="13">
        <f>'TUSD BE'!$U$34*'TUSD BE'!$U$58</f>
        <v>0</v>
      </c>
      <c r="V34" s="13">
        <f>'TUSD BE'!$V$34*'TUSD BE'!$V$58</f>
        <v>0</v>
      </c>
      <c r="W34" s="13">
        <f>'TUSD BE'!$W$34*'TUSD BE'!$W$58</f>
        <v>0</v>
      </c>
      <c r="X34" s="13">
        <f>'TUSD BE'!$X$34*'TUSD BE'!$X$58</f>
        <v>0</v>
      </c>
      <c r="Y34" s="13">
        <f>'TUSD BE'!$Y$34*'TUSD BE'!$Y$58</f>
        <v>-9.4530270448180964</v>
      </c>
      <c r="Z34" s="13">
        <f>'TUSD BE'!$Z$34*'TUSD BE'!$Z$58</f>
        <v>0</v>
      </c>
      <c r="AA34" s="13">
        <f>'TUSD BE'!$AA$34*'TUSD BE'!$AA$58</f>
        <v>0</v>
      </c>
      <c r="AB34" s="13">
        <f>SUM($U$34:$AA$34)</f>
        <v>-9.4530270448180964</v>
      </c>
      <c r="AC34" s="13">
        <f>'TUSD BE'!$AC$34*'TUSD BE'!$AC$58</f>
        <v>-271.7250040159613</v>
      </c>
      <c r="AD34" s="13">
        <f>SUM($AC$34:$AC$34)</f>
        <v>-271.7250040159613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BE'!$AH$58</f>
        <v>-0.39599063408162205</v>
      </c>
      <c r="AI34" s="13">
        <f>'TUSD BE'!$AI$34*'TUSD BE'!$AI$58</f>
        <v>0</v>
      </c>
      <c r="AJ34" s="13">
        <f ca="1">'TUSD BE'!$AJ$34*'TUSD BE'!$AJ$58</f>
        <v>0</v>
      </c>
      <c r="AK34" s="13">
        <f ca="1">'TUSD BE'!$AK$34*'TUSD BE'!$AK$58</f>
        <v>0</v>
      </c>
      <c r="AL34" s="13">
        <f ca="1">SUM($AH$34:$AK$34)</f>
        <v>-0.39599063408162205</v>
      </c>
      <c r="AM34" s="13">
        <f ca="1">SUMIF($L$4:$AL$4,"SUBTOTAL",$L$34:$AL$34)</f>
        <v>-282.47232776358021</v>
      </c>
      <c r="AO34" s="20">
        <f ca="1">+'TUSD BE'!$T$34+'TUSD BE'!$AB$34+'TUSD BE'!$AD$34+'TUSD BE'!$AL$34</f>
        <v>1980.5613511429631</v>
      </c>
      <c r="AP34" s="20">
        <f ca="1">+'TUSD BE'!$T$34+'TUSD BE'!$AB$34+'TUSD BE'!$AD$34+'TUSD BE'!$AL$34</f>
        <v>1980.5613511429631</v>
      </c>
    </row>
    <row r="35" spans="1:42" ht="11.25" customHeight="1" x14ac:dyDescent="0.3">
      <c r="A35" s="92"/>
      <c r="B35" s="92"/>
      <c r="C35" s="92"/>
      <c r="D35" s="92"/>
      <c r="E35" s="92"/>
      <c r="F35" s="92"/>
      <c r="G35" s="18" t="s">
        <v>81</v>
      </c>
      <c r="H35" s="18" t="s">
        <v>69</v>
      </c>
      <c r="I35" s="18">
        <f>'MERCADO TUSD'!$U$32</f>
        <v>0</v>
      </c>
      <c r="J35" s="15"/>
      <c r="L35" s="13">
        <f>'TUSD BE'!$L$35*'TUSD BE'!$L$58</f>
        <v>0</v>
      </c>
      <c r="M35" s="13">
        <f>'TUSD BE'!$M$35*'TUSD BE'!$M$58</f>
        <v>-2.2657363822565332E-2</v>
      </c>
      <c r="N35" s="13">
        <f ca="1">'TUSD BE'!$N$35*'TUSD BE'!$N$58</f>
        <v>0</v>
      </c>
      <c r="O35" s="13">
        <f>'TUSD BE'!$O$35*'TUSD BE'!$O$58</f>
        <v>0</v>
      </c>
      <c r="P35" s="13">
        <f>'TUSD BE'!$P$35*'TUSD BE'!$P$58</f>
        <v>0</v>
      </c>
      <c r="Q35" s="13">
        <f>'TUSD BE'!$Q$35*'TUSD BE'!$Q$58</f>
        <v>-0.75544384428640787</v>
      </c>
      <c r="R35" s="13">
        <f>'TUSD BE'!$R$35*'TUSD BE'!$R$58</f>
        <v>-0.12020486061023399</v>
      </c>
      <c r="S35" s="13">
        <f>'TUSD BE'!$R$35*'TUSD BE'!$S$58</f>
        <v>0</v>
      </c>
      <c r="T35" s="13">
        <f ca="1">SUM($L$35:$S$35)</f>
        <v>-0.89830606871920715</v>
      </c>
      <c r="U35" s="13">
        <f>'TUSD BE'!$U$35*'TUSD BE'!$U$58</f>
        <v>0</v>
      </c>
      <c r="V35" s="13">
        <f>'TUSD BE'!$V$35*'TUSD BE'!$V$58</f>
        <v>0</v>
      </c>
      <c r="W35" s="13">
        <f>'TUSD BE'!$W$35*'TUSD BE'!$W$58</f>
        <v>0</v>
      </c>
      <c r="X35" s="13">
        <f>'TUSD BE'!$X$35*'TUSD BE'!$X$58</f>
        <v>0</v>
      </c>
      <c r="Y35" s="13">
        <f>'TUSD BE'!$Y$35*'TUSD BE'!$Y$58</f>
        <v>-5.6703588269179983</v>
      </c>
      <c r="Z35" s="13">
        <f>'TUSD BE'!$Z$35*'TUSD BE'!$Z$58</f>
        <v>0</v>
      </c>
      <c r="AA35" s="13">
        <f>'TUSD BE'!$AA$35*'TUSD BE'!$AA$58</f>
        <v>0</v>
      </c>
      <c r="AB35" s="13">
        <f>SUM($U$35:$AA$35)</f>
        <v>-5.6703588269179983</v>
      </c>
      <c r="AC35" s="13">
        <f>'TUSD BE'!$AC$35*'TUSD BE'!$AC$58</f>
        <v>-163.035074743211</v>
      </c>
      <c r="AD35" s="13">
        <f>SUM($AC$35:$AC$35)</f>
        <v>-163.035074743211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BE'!$AH$58</f>
        <v>-0.39599063408162205</v>
      </c>
      <c r="AI35" s="13">
        <f>'TUSD BE'!$AI$35*'TUSD BE'!$AI$58</f>
        <v>0</v>
      </c>
      <c r="AJ35" s="13">
        <f ca="1">'TUSD BE'!$AJ$35*'TUSD BE'!$AJ$58</f>
        <v>0</v>
      </c>
      <c r="AK35" s="13">
        <f ca="1">'TUSD BE'!$AK$35*'TUSD BE'!$AK$58</f>
        <v>0</v>
      </c>
      <c r="AL35" s="13">
        <f ca="1">SUM($AH$35:$AK$35)</f>
        <v>-0.39599063408162205</v>
      </c>
      <c r="AM35" s="13">
        <f ca="1">SUMIF($L$4:$AL$4,"SUBTOTAL",$L$35:$AL$35)</f>
        <v>-169.99973027292981</v>
      </c>
      <c r="AO35" s="20">
        <f ca="1">+'TUSD BE'!$T$35+'TUSD BE'!$AB$35+'TUSD BE'!$AD$35+'TUSD BE'!$AL$35</f>
        <v>1239.6792771723142</v>
      </c>
      <c r="AP35" s="20">
        <f ca="1">+'TUSD BE'!$T$35+'TUSD BE'!$AB$35+'TUSD BE'!$AD$35+'TUSD BE'!$AL$35</f>
        <v>1239.6792771723142</v>
      </c>
    </row>
    <row r="36" spans="1:42" ht="11.25" customHeight="1" x14ac:dyDescent="0.3">
      <c r="A36" s="92"/>
      <c r="B36" s="92"/>
      <c r="C36" s="92"/>
      <c r="D36" s="92"/>
      <c r="E36" s="92"/>
      <c r="F36" s="92"/>
      <c r="G36" s="18" t="s">
        <v>71</v>
      </c>
      <c r="H36" s="18" t="s">
        <v>69</v>
      </c>
      <c r="I36" s="18">
        <f>'MERCADO TUSD'!$U$33</f>
        <v>0</v>
      </c>
      <c r="J36" s="15"/>
      <c r="L36" s="13">
        <f>'TUSD BE'!$L$36*'TUSD BE'!$L$58</f>
        <v>0</v>
      </c>
      <c r="M36" s="13">
        <f>'TUSD BE'!$M$36*'TUSD BE'!$M$58</f>
        <v>-2.2657363822565332E-2</v>
      </c>
      <c r="N36" s="13">
        <f ca="1">'TUSD BE'!$N$36*'TUSD BE'!$N$58</f>
        <v>0</v>
      </c>
      <c r="O36" s="13">
        <f>'TUSD BE'!$O$36*'TUSD BE'!$O$58</f>
        <v>0</v>
      </c>
      <c r="P36" s="13">
        <f>'TUSD BE'!$P$36*'TUSD BE'!$P$58</f>
        <v>0</v>
      </c>
      <c r="Q36" s="13">
        <f>'TUSD BE'!$Q$36*'TUSD BE'!$Q$58</f>
        <v>-0.75544384428640787</v>
      </c>
      <c r="R36" s="13">
        <f>'TUSD BE'!$R$36*'TUSD BE'!$R$58</f>
        <v>-0.12020486061023399</v>
      </c>
      <c r="S36" s="13">
        <f>'TUSD BE'!$R$36*'TUSD BE'!$S$58</f>
        <v>0</v>
      </c>
      <c r="T36" s="13">
        <f ca="1">SUM($L$36:$S$36)</f>
        <v>-0.89830606871920715</v>
      </c>
      <c r="U36" s="13">
        <f>'TUSD BE'!$U$36*'TUSD BE'!$U$58</f>
        <v>0</v>
      </c>
      <c r="V36" s="13">
        <f>'TUSD BE'!$V$36*'TUSD BE'!$V$58</f>
        <v>0</v>
      </c>
      <c r="W36" s="13">
        <f>'TUSD BE'!$W$36*'TUSD BE'!$W$58</f>
        <v>0</v>
      </c>
      <c r="X36" s="13">
        <f>'TUSD BE'!$X$36*'TUSD BE'!$X$58</f>
        <v>0</v>
      </c>
      <c r="Y36" s="13">
        <f>'TUSD BE'!$Y$36*'TUSD BE'!$Y$58</f>
        <v>-1.8913355991340703</v>
      </c>
      <c r="Z36" s="13">
        <f>'TUSD BE'!$Z$36*'TUSD BE'!$Z$58</f>
        <v>0</v>
      </c>
      <c r="AA36" s="13">
        <f>'TUSD BE'!$AA$36*'TUSD BE'!$AA$58</f>
        <v>0</v>
      </c>
      <c r="AB36" s="13">
        <f>SUM($U$36:$AA$36)</f>
        <v>-1.8913355991340703</v>
      </c>
      <c r="AC36" s="13">
        <f>'TUSD BE'!$AC$36*'TUSD BE'!$AC$58</f>
        <v>-54.34496463637516</v>
      </c>
      <c r="AD36" s="13">
        <f>SUM($AC$36:$AC$36)</f>
        <v>-54.34496463637516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BE'!$AH$58</f>
        <v>-0.39599063408162205</v>
      </c>
      <c r="AI36" s="13">
        <f>'TUSD BE'!$AI$36*'TUSD BE'!$AI$58</f>
        <v>0</v>
      </c>
      <c r="AJ36" s="13">
        <f ca="1">'TUSD BE'!$AJ$36*'TUSD BE'!$AJ$58</f>
        <v>0</v>
      </c>
      <c r="AK36" s="13">
        <f ca="1">'TUSD BE'!$AK$36*'TUSD BE'!$AK$58</f>
        <v>0</v>
      </c>
      <c r="AL36" s="13">
        <f ca="1">SUM($AH$36:$AK$36)</f>
        <v>-0.39599063408162205</v>
      </c>
      <c r="AM36" s="13">
        <f ca="1">SUMIF($L$4:$AL$4,"SUBTOTAL",$L$36:$AL$36)</f>
        <v>-57.530596938310055</v>
      </c>
      <c r="AO36" s="20">
        <f ca="1">+'TUSD BE'!$T$36+'TUSD BE'!$AB$36+'TUSD BE'!$AD$36+'TUSD BE'!$AL$36</f>
        <v>498.92069542053537</v>
      </c>
      <c r="AP36" s="20">
        <f ca="1">+'TUSD BE'!$T$36+'TUSD BE'!$AB$36+'TUSD BE'!$AD$36+'TUSD BE'!$AL$36</f>
        <v>498.92069542053537</v>
      </c>
    </row>
    <row r="37" spans="1:42" ht="11.25" customHeight="1" x14ac:dyDescent="0.3">
      <c r="A37" s="92"/>
      <c r="B37" s="17" t="s">
        <v>23</v>
      </c>
      <c r="C37" s="17" t="s">
        <v>43</v>
      </c>
      <c r="D37" s="17" t="s">
        <v>85</v>
      </c>
      <c r="E37" s="17" t="s">
        <v>25</v>
      </c>
      <c r="F37" s="17" t="s">
        <v>25</v>
      </c>
      <c r="G37" s="18" t="s">
        <v>75</v>
      </c>
      <c r="H37" s="18" t="s">
        <v>69</v>
      </c>
      <c r="I37" s="18">
        <f>'MERCADO TUSD'!$U$34</f>
        <v>0</v>
      </c>
      <c r="J37" s="15"/>
      <c r="L37" s="13">
        <f>'TUSD BE'!$L$37*'TUSD BE'!$L$58</f>
        <v>0</v>
      </c>
      <c r="M37" s="13">
        <f>'TUSD BE'!$M$37*'TUSD BE'!$M$58</f>
        <v>-2.2657363822565332E-2</v>
      </c>
      <c r="N37" s="13">
        <f ca="1">'TUSD BE'!$N$37*'TUSD BE'!$N$58</f>
        <v>0</v>
      </c>
      <c r="O37" s="13">
        <f>'TUSD BE'!$O$37*'TUSD BE'!$O$58</f>
        <v>0</v>
      </c>
      <c r="P37" s="13">
        <f>'TUSD BE'!$P$37*'TUSD BE'!$P$58</f>
        <v>0</v>
      </c>
      <c r="Q37" s="13">
        <f>'TUSD BE'!$Q$37*'TUSD BE'!$Q$58</f>
        <v>-0.75544384428640787</v>
      </c>
      <c r="R37" s="13">
        <f>'TUSD BE'!$R$37*'TUSD BE'!$R$58</f>
        <v>-0.12020486061023399</v>
      </c>
      <c r="S37" s="13">
        <f>'TUSD BE'!$R$37*'TUSD BE'!$S$58</f>
        <v>0</v>
      </c>
      <c r="T37" s="13">
        <f ca="1">SUM($L$37:$S$37)</f>
        <v>-0.89830606871920715</v>
      </c>
      <c r="U37" s="13">
        <f>'TUSD BE'!$U$37*'TUSD BE'!$U$58</f>
        <v>0</v>
      </c>
      <c r="V37" s="13">
        <f>'TUSD BE'!$V$37*'TUSD BE'!$V$58</f>
        <v>0</v>
      </c>
      <c r="W37" s="13">
        <f>'TUSD BE'!$W$37*'TUSD BE'!$W$58</f>
        <v>0</v>
      </c>
      <c r="X37" s="13">
        <f>'TUSD BE'!$X$37*'TUSD BE'!$X$58</f>
        <v>0</v>
      </c>
      <c r="Y37" s="13">
        <f>'TUSD BE'!$Y$37*'TUSD BE'!$Y$58</f>
        <v>-3.2050639501290359</v>
      </c>
      <c r="Z37" s="13">
        <f>'TUSD BE'!$Z$37*'TUSD BE'!$Z$58</f>
        <v>0</v>
      </c>
      <c r="AA37" s="13">
        <f>'TUSD BE'!$AA$37*'TUSD BE'!$AA$58</f>
        <v>0</v>
      </c>
      <c r="AB37" s="13">
        <f>SUM($U$37:$AA$37)</f>
        <v>-3.2050639501290359</v>
      </c>
      <c r="AC37" s="13">
        <f>'TUSD BE'!$AC$37*'TUSD BE'!$AC$58</f>
        <v>-92.110174224351184</v>
      </c>
      <c r="AD37" s="13">
        <f>SUM($AC$37:$AC$37)</f>
        <v>-92.110174224351184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BE'!$AH$58</f>
        <v>-0.39599063408162205</v>
      </c>
      <c r="AI37" s="13">
        <f>'TUSD BE'!$AI$37*'TUSD BE'!$AI$58</f>
        <v>0</v>
      </c>
      <c r="AJ37" s="13">
        <f ca="1">'TUSD BE'!$AJ$37*'TUSD BE'!$AJ$58</f>
        <v>0</v>
      </c>
      <c r="AK37" s="13">
        <f ca="1">'TUSD BE'!$AK$37*'TUSD BE'!$AK$58</f>
        <v>0</v>
      </c>
      <c r="AL37" s="13">
        <f ca="1">SUM($AH$37:$AK$37)</f>
        <v>-0.39599063408162205</v>
      </c>
      <c r="AM37" s="13">
        <f ca="1">SUMIF($L$4:$AL$4,"SUBTOTAL",$L$37:$AL$37)</f>
        <v>-96.60953487728105</v>
      </c>
      <c r="AO37" s="20">
        <f ca="1">+'TUSD BE'!$T$37+'TUSD BE'!$AB$37+'TUSD BE'!$AD$37+'TUSD BE'!$AL$37</f>
        <v>756.32608161848884</v>
      </c>
      <c r="AP37" s="20">
        <f ca="1">+'TUSD BE'!$T$37+'TUSD BE'!$AB$37+'TUSD BE'!$AD$37+'TUSD BE'!$AL$37</f>
        <v>756.32608161848884</v>
      </c>
    </row>
    <row r="38" spans="1:42" ht="11.25" customHeight="1" x14ac:dyDescent="0.3">
      <c r="A38" s="92"/>
      <c r="B38" s="92" t="s">
        <v>39</v>
      </c>
      <c r="C38" s="92" t="s">
        <v>43</v>
      </c>
      <c r="D38" s="92" t="s">
        <v>86</v>
      </c>
      <c r="E38" s="92" t="s">
        <v>25</v>
      </c>
      <c r="F38" s="92" t="s">
        <v>25</v>
      </c>
      <c r="G38" s="18" t="s">
        <v>70</v>
      </c>
      <c r="H38" s="18" t="s">
        <v>69</v>
      </c>
      <c r="I38" s="18">
        <f>'MERCADO TUSD'!$U$35</f>
        <v>0</v>
      </c>
      <c r="J38" s="15"/>
      <c r="L38" s="13">
        <f>'TUSD BE'!$L$38*'TUSD BE'!$L$58</f>
        <v>0</v>
      </c>
      <c r="M38" s="13">
        <f>'TUSD BE'!$M$38*'TUSD BE'!$M$58</f>
        <v>-2.2657363822565332E-2</v>
      </c>
      <c r="N38" s="13">
        <f ca="1">'TUSD BE'!$N$38*'TUSD BE'!$N$58</f>
        <v>0</v>
      </c>
      <c r="O38" s="13">
        <f>'TUSD BE'!$O$38*'TUSD BE'!$O$58</f>
        <v>0</v>
      </c>
      <c r="P38" s="13">
        <f>'TUSD BE'!$P$38*'TUSD BE'!$P$58</f>
        <v>0</v>
      </c>
      <c r="Q38" s="13">
        <f>'TUSD BE'!$Q$38*'TUSD BE'!$Q$58</f>
        <v>-0.75544384428640787</v>
      </c>
      <c r="R38" s="13">
        <f>'TUSD BE'!$R$38*'TUSD BE'!$R$58</f>
        <v>-0.12020486061023399</v>
      </c>
      <c r="S38" s="13">
        <f>'TUSD BE'!$R$38*'TUSD BE'!$S$58</f>
        <v>0</v>
      </c>
      <c r="T38" s="13">
        <f ca="1">SUM($L$38:$S$38)</f>
        <v>-0.89830606871920715</v>
      </c>
      <c r="U38" s="13">
        <f>'TUSD BE'!$U$38*'TUSD BE'!$U$58</f>
        <v>0</v>
      </c>
      <c r="V38" s="13">
        <f>'TUSD BE'!$V$38*'TUSD BE'!$V$58</f>
        <v>0</v>
      </c>
      <c r="W38" s="13">
        <f>'TUSD BE'!$W$38*'TUSD BE'!$W$58</f>
        <v>0</v>
      </c>
      <c r="X38" s="13">
        <f>'TUSD BE'!$X$38*'TUSD BE'!$X$58</f>
        <v>0</v>
      </c>
      <c r="Y38" s="13">
        <f>'TUSD BE'!$Y$38*'TUSD BE'!$Y$58</f>
        <v>-9.4530270448180964</v>
      </c>
      <c r="Z38" s="13">
        <f>'TUSD BE'!$Z$38*'TUSD BE'!$Z$58</f>
        <v>0</v>
      </c>
      <c r="AA38" s="13">
        <f>'TUSD BE'!$AA$38*'TUSD BE'!$AA$58</f>
        <v>0</v>
      </c>
      <c r="AB38" s="13">
        <f>SUM($U$38:$AA$38)</f>
        <v>-9.4530270448180964</v>
      </c>
      <c r="AC38" s="13">
        <f>'TUSD BE'!$AC$38*'TUSD BE'!$AC$58</f>
        <v>-271.7250040159613</v>
      </c>
      <c r="AD38" s="13">
        <f>SUM($AC$38:$AC$38)</f>
        <v>-271.7250040159613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BE'!$AH$58</f>
        <v>-0.39599063408162205</v>
      </c>
      <c r="AI38" s="13">
        <f>'TUSD BE'!$AI$38*'TUSD BE'!$AI$58</f>
        <v>0</v>
      </c>
      <c r="AJ38" s="13">
        <f ca="1">'TUSD BE'!$AJ$38*'TUSD BE'!$AJ$58</f>
        <v>0</v>
      </c>
      <c r="AK38" s="13">
        <f ca="1">'TUSD BE'!$AK$38*'TUSD BE'!$AK$58</f>
        <v>0</v>
      </c>
      <c r="AL38" s="13">
        <f ca="1">SUM($AH$38:$AK$38)</f>
        <v>-0.39599063408162205</v>
      </c>
      <c r="AM38" s="13">
        <f ca="1">SUMIF($L$4:$AL$4,"SUBTOTAL",$L$38:$AL$38)</f>
        <v>-282.47232776358021</v>
      </c>
      <c r="AO38" s="20">
        <f ca="1">+'TUSD BE'!$T$38+'TUSD BE'!$AB$38+'TUSD BE'!$AD$38+'TUSD BE'!$AL$38</f>
        <v>1980.5613511429631</v>
      </c>
      <c r="AP38" s="20">
        <f ca="1">+'TUSD BE'!$T$38+'TUSD BE'!$AB$38+'TUSD BE'!$AD$38+'TUSD BE'!$AL$38</f>
        <v>1980.5613511429631</v>
      </c>
    </row>
    <row r="39" spans="1:42" ht="11.25" customHeight="1" x14ac:dyDescent="0.3">
      <c r="A39" s="92"/>
      <c r="B39" s="92"/>
      <c r="C39" s="92"/>
      <c r="D39" s="92"/>
      <c r="E39" s="92"/>
      <c r="F39" s="92"/>
      <c r="G39" s="18" t="s">
        <v>81</v>
      </c>
      <c r="H39" s="18" t="s">
        <v>69</v>
      </c>
      <c r="I39" s="18">
        <f>'MERCADO TUSD'!$U$36</f>
        <v>0</v>
      </c>
      <c r="J39" s="15"/>
      <c r="L39" s="13">
        <f>'TUSD BE'!$L$39*'TUSD BE'!$L$58</f>
        <v>0</v>
      </c>
      <c r="M39" s="13">
        <f>'TUSD BE'!$M$39*'TUSD BE'!$M$58</f>
        <v>-2.2657363822565332E-2</v>
      </c>
      <c r="N39" s="13">
        <f ca="1">'TUSD BE'!$N$39*'TUSD BE'!$N$58</f>
        <v>0</v>
      </c>
      <c r="O39" s="13">
        <f>'TUSD BE'!$O$39*'TUSD BE'!$O$58</f>
        <v>0</v>
      </c>
      <c r="P39" s="13">
        <f>'TUSD BE'!$P$39*'TUSD BE'!$P$58</f>
        <v>0</v>
      </c>
      <c r="Q39" s="13">
        <f>'TUSD BE'!$Q$39*'TUSD BE'!$Q$58</f>
        <v>-0.75544384428640787</v>
      </c>
      <c r="R39" s="13">
        <f>'TUSD BE'!$R$39*'TUSD BE'!$R$58</f>
        <v>-0.12020486061023399</v>
      </c>
      <c r="S39" s="13">
        <f>'TUSD BE'!$R$39*'TUSD BE'!$S$58</f>
        <v>0</v>
      </c>
      <c r="T39" s="13">
        <f ca="1">SUM($L$39:$S$39)</f>
        <v>-0.89830606871920715</v>
      </c>
      <c r="U39" s="13">
        <f>'TUSD BE'!$U$39*'TUSD BE'!$U$58</f>
        <v>0</v>
      </c>
      <c r="V39" s="13">
        <f>'TUSD BE'!$V$39*'TUSD BE'!$V$58</f>
        <v>0</v>
      </c>
      <c r="W39" s="13">
        <f>'TUSD BE'!$W$39*'TUSD BE'!$W$58</f>
        <v>0</v>
      </c>
      <c r="X39" s="13">
        <f>'TUSD BE'!$X$39*'TUSD BE'!$X$58</f>
        <v>0</v>
      </c>
      <c r="Y39" s="13">
        <f>'TUSD BE'!$Y$39*'TUSD BE'!$Y$58</f>
        <v>-5.6703588269179983</v>
      </c>
      <c r="Z39" s="13">
        <f>'TUSD BE'!$Z$39*'TUSD BE'!$Z$58</f>
        <v>0</v>
      </c>
      <c r="AA39" s="13">
        <f>'TUSD BE'!$AA$39*'TUSD BE'!$AA$58</f>
        <v>0</v>
      </c>
      <c r="AB39" s="13">
        <f>SUM($U$39:$AA$39)</f>
        <v>-5.6703588269179983</v>
      </c>
      <c r="AC39" s="13">
        <f>'TUSD BE'!$AC$39*'TUSD BE'!$AC$58</f>
        <v>-163.035074743211</v>
      </c>
      <c r="AD39" s="13">
        <f>SUM($AC$39:$AC$39)</f>
        <v>-163.035074743211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BE'!$AH$58</f>
        <v>-0.39599063408162205</v>
      </c>
      <c r="AI39" s="13">
        <f>'TUSD BE'!$AI$39*'TUSD BE'!$AI$58</f>
        <v>0</v>
      </c>
      <c r="AJ39" s="13">
        <f ca="1">'TUSD BE'!$AJ$39*'TUSD BE'!$AJ$58</f>
        <v>0</v>
      </c>
      <c r="AK39" s="13">
        <f ca="1">'TUSD BE'!$AK$39*'TUSD BE'!$AK$58</f>
        <v>0</v>
      </c>
      <c r="AL39" s="13">
        <f ca="1">SUM($AH$39:$AK$39)</f>
        <v>-0.39599063408162205</v>
      </c>
      <c r="AM39" s="13">
        <f ca="1">SUMIF($L$4:$AL$4,"SUBTOTAL",$L$39:$AL$39)</f>
        <v>-169.99973027292981</v>
      </c>
      <c r="AO39" s="20">
        <f ca="1">+'TUSD BE'!$T$39+'TUSD BE'!$AB$39+'TUSD BE'!$AD$39+'TUSD BE'!$AL$39</f>
        <v>1239.6792771723142</v>
      </c>
      <c r="AP39" s="20">
        <f ca="1">+'TUSD BE'!$T$39+'TUSD BE'!$AB$39+'TUSD BE'!$AD$39+'TUSD BE'!$AL$39</f>
        <v>1239.6792771723142</v>
      </c>
    </row>
    <row r="40" spans="1:42" ht="11.25" customHeight="1" x14ac:dyDescent="0.3">
      <c r="A40" s="92"/>
      <c r="B40" s="92"/>
      <c r="C40" s="92"/>
      <c r="D40" s="92"/>
      <c r="E40" s="92"/>
      <c r="F40" s="92"/>
      <c r="G40" s="18" t="s">
        <v>71</v>
      </c>
      <c r="H40" s="18" t="s">
        <v>69</v>
      </c>
      <c r="I40" s="18">
        <f>'MERCADO TUSD'!$U$37</f>
        <v>0</v>
      </c>
      <c r="J40" s="15"/>
      <c r="L40" s="13">
        <f>'TUSD BE'!$L$40*'TUSD BE'!$L$58</f>
        <v>0</v>
      </c>
      <c r="M40" s="13">
        <f>'TUSD BE'!$M$40*'TUSD BE'!$M$58</f>
        <v>-2.2657363822565332E-2</v>
      </c>
      <c r="N40" s="13">
        <f ca="1">'TUSD BE'!$N$40*'TUSD BE'!$N$58</f>
        <v>0</v>
      </c>
      <c r="O40" s="13">
        <f>'TUSD BE'!$O$40*'TUSD BE'!$O$58</f>
        <v>0</v>
      </c>
      <c r="P40" s="13">
        <f>'TUSD BE'!$P$40*'TUSD BE'!$P$58</f>
        <v>0</v>
      </c>
      <c r="Q40" s="13">
        <f>'TUSD BE'!$Q$40*'TUSD BE'!$Q$58</f>
        <v>-0.75544384428640787</v>
      </c>
      <c r="R40" s="13">
        <f>'TUSD BE'!$R$40*'TUSD BE'!$R$58</f>
        <v>-0.12020486061023399</v>
      </c>
      <c r="S40" s="13">
        <f>'TUSD BE'!$R$40*'TUSD BE'!$S$58</f>
        <v>0</v>
      </c>
      <c r="T40" s="13">
        <f ca="1">SUM($L$40:$S$40)</f>
        <v>-0.89830606871920715</v>
      </c>
      <c r="U40" s="13">
        <f>'TUSD BE'!$U$40*'TUSD BE'!$U$58</f>
        <v>0</v>
      </c>
      <c r="V40" s="13">
        <f>'TUSD BE'!$V$40*'TUSD BE'!$V$58</f>
        <v>0</v>
      </c>
      <c r="W40" s="13">
        <f>'TUSD BE'!$W$40*'TUSD BE'!$W$58</f>
        <v>0</v>
      </c>
      <c r="X40" s="13">
        <f>'TUSD BE'!$X$40*'TUSD BE'!$X$58</f>
        <v>0</v>
      </c>
      <c r="Y40" s="13">
        <f>'TUSD BE'!$Y$40*'TUSD BE'!$Y$58</f>
        <v>-1.8913355991340703</v>
      </c>
      <c r="Z40" s="13">
        <f>'TUSD BE'!$Z$40*'TUSD BE'!$Z$58</f>
        <v>0</v>
      </c>
      <c r="AA40" s="13">
        <f>'TUSD BE'!$AA$40*'TUSD BE'!$AA$58</f>
        <v>0</v>
      </c>
      <c r="AB40" s="13">
        <f>SUM($U$40:$AA$40)</f>
        <v>-1.8913355991340703</v>
      </c>
      <c r="AC40" s="13">
        <f>'TUSD BE'!$AC$40*'TUSD BE'!$AC$58</f>
        <v>-54.34496463637516</v>
      </c>
      <c r="AD40" s="13">
        <f>SUM($AC$40:$AC$40)</f>
        <v>-54.34496463637516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BE'!$AH$58</f>
        <v>-0.39599063408162205</v>
      </c>
      <c r="AI40" s="13">
        <f>'TUSD BE'!$AI$40*'TUSD BE'!$AI$58</f>
        <v>0</v>
      </c>
      <c r="AJ40" s="13">
        <f ca="1">'TUSD BE'!$AJ$40*'TUSD BE'!$AJ$58</f>
        <v>0</v>
      </c>
      <c r="AK40" s="13">
        <f ca="1">'TUSD BE'!$AK$40*'TUSD BE'!$AK$58</f>
        <v>0</v>
      </c>
      <c r="AL40" s="13">
        <f ca="1">SUM($AH$40:$AK$40)</f>
        <v>-0.39599063408162205</v>
      </c>
      <c r="AM40" s="13">
        <f ca="1">SUMIF($L$4:$AL$4,"SUBTOTAL",$L$40:$AL$40)</f>
        <v>-57.530596938310055</v>
      </c>
      <c r="AO40" s="20">
        <f ca="1">+'TUSD BE'!$T$40+'TUSD BE'!$AB$40+'TUSD BE'!$AD$40+'TUSD BE'!$AL$40</f>
        <v>498.92069542053537</v>
      </c>
      <c r="AP40" s="20">
        <f ca="1">+'TUSD BE'!$T$40+'TUSD BE'!$AB$40+'TUSD BE'!$AD$40+'TUSD BE'!$AL$40</f>
        <v>498.92069542053537</v>
      </c>
    </row>
    <row r="41" spans="1:42" ht="11.25" customHeight="1" x14ac:dyDescent="0.3">
      <c r="A41" s="92"/>
      <c r="B41" s="17" t="s">
        <v>23</v>
      </c>
      <c r="C41" s="17" t="s">
        <v>43</v>
      </c>
      <c r="D41" s="17" t="s">
        <v>86</v>
      </c>
      <c r="E41" s="17" t="s">
        <v>25</v>
      </c>
      <c r="F41" s="17" t="s">
        <v>25</v>
      </c>
      <c r="G41" s="18" t="s">
        <v>75</v>
      </c>
      <c r="H41" s="18" t="s">
        <v>69</v>
      </c>
      <c r="I41" s="18">
        <f>'MERCADO TUSD'!$U$38</f>
        <v>0</v>
      </c>
      <c r="J41" s="15"/>
      <c r="L41" s="13">
        <f>'TUSD BE'!$L$41*'TUSD BE'!$L$58</f>
        <v>0</v>
      </c>
      <c r="M41" s="13">
        <f>'TUSD BE'!$M$41*'TUSD BE'!$M$58</f>
        <v>-2.2657363822565332E-2</v>
      </c>
      <c r="N41" s="13">
        <f ca="1">'TUSD BE'!$N$41*'TUSD BE'!$N$58</f>
        <v>0</v>
      </c>
      <c r="O41" s="13">
        <f>'TUSD BE'!$O$41*'TUSD BE'!$O$58</f>
        <v>0</v>
      </c>
      <c r="P41" s="13">
        <f>'TUSD BE'!$P$41*'TUSD BE'!$P$58</f>
        <v>0</v>
      </c>
      <c r="Q41" s="13">
        <f>'TUSD BE'!$Q$41*'TUSD BE'!$Q$58</f>
        <v>-0.75544384428640787</v>
      </c>
      <c r="R41" s="13">
        <f>'TUSD BE'!$R$41*'TUSD BE'!$R$58</f>
        <v>-0.12020486061023399</v>
      </c>
      <c r="S41" s="13">
        <f>'TUSD BE'!$R$41*'TUSD BE'!$S$58</f>
        <v>0</v>
      </c>
      <c r="T41" s="13">
        <f ca="1">SUM($L$41:$S$41)</f>
        <v>-0.89830606871920715</v>
      </c>
      <c r="U41" s="13">
        <f>'TUSD BE'!$U$41*'TUSD BE'!$U$58</f>
        <v>0</v>
      </c>
      <c r="V41" s="13">
        <f>'TUSD BE'!$V$41*'TUSD BE'!$V$58</f>
        <v>0</v>
      </c>
      <c r="W41" s="13">
        <f>'TUSD BE'!$W$41*'TUSD BE'!$W$58</f>
        <v>0</v>
      </c>
      <c r="X41" s="13">
        <f>'TUSD BE'!$X$41*'TUSD BE'!$X$58</f>
        <v>0</v>
      </c>
      <c r="Y41" s="13">
        <f>'TUSD BE'!$Y$41*'TUSD BE'!$Y$58</f>
        <v>-3.2050639501290359</v>
      </c>
      <c r="Z41" s="13">
        <f>'TUSD BE'!$Z$41*'TUSD BE'!$Z$58</f>
        <v>0</v>
      </c>
      <c r="AA41" s="13">
        <f>'TUSD BE'!$AA$41*'TUSD BE'!$AA$58</f>
        <v>0</v>
      </c>
      <c r="AB41" s="13">
        <f>SUM($U$41:$AA$41)</f>
        <v>-3.2050639501290359</v>
      </c>
      <c r="AC41" s="13">
        <f>'TUSD BE'!$AC$41*'TUSD BE'!$AC$58</f>
        <v>-92.110174224351184</v>
      </c>
      <c r="AD41" s="13">
        <f>SUM($AC$41:$AC$41)</f>
        <v>-92.110174224351184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BE'!$AH$58</f>
        <v>-0.39599063408162205</v>
      </c>
      <c r="AI41" s="13">
        <f>'TUSD BE'!$AI$41*'TUSD BE'!$AI$58</f>
        <v>0</v>
      </c>
      <c r="AJ41" s="13">
        <f ca="1">'TUSD BE'!$AJ$41*'TUSD BE'!$AJ$58</f>
        <v>0</v>
      </c>
      <c r="AK41" s="13">
        <f ca="1">'TUSD BE'!$AK$41*'TUSD BE'!$AK$58</f>
        <v>0</v>
      </c>
      <c r="AL41" s="13">
        <f ca="1">SUM($AH$41:$AK$41)</f>
        <v>-0.39599063408162205</v>
      </c>
      <c r="AM41" s="13">
        <f ca="1">SUMIF($L$4:$AL$4,"SUBTOTAL",$L$41:$AL$41)</f>
        <v>-96.60953487728105</v>
      </c>
      <c r="AO41" s="20">
        <f ca="1">+'TUSD BE'!$T$41+'TUSD BE'!$AB$41+'TUSD BE'!$AD$41+'TUSD BE'!$AL$41</f>
        <v>756.32608161848884</v>
      </c>
      <c r="AP41" s="20">
        <f ca="1">+'TUSD BE'!$T$41+'TUSD BE'!$AB$41+'TUSD BE'!$AD$41+'TUSD BE'!$AL$41</f>
        <v>756.32608161848884</v>
      </c>
    </row>
    <row r="42" spans="1:42" ht="11.25" customHeight="1" x14ac:dyDescent="0.3">
      <c r="A42" s="92"/>
      <c r="B42" s="92" t="s">
        <v>84</v>
      </c>
      <c r="C42" s="92" t="s">
        <v>43</v>
      </c>
      <c r="D42" s="17" t="s">
        <v>25</v>
      </c>
      <c r="E42" s="17" t="s">
        <v>25</v>
      </c>
      <c r="F42" s="17" t="s">
        <v>25</v>
      </c>
      <c r="G42" s="18" t="s">
        <v>75</v>
      </c>
      <c r="H42" s="18" t="s">
        <v>69</v>
      </c>
      <c r="I42" s="18">
        <f>'MERCADO TUSD'!$U$39</f>
        <v>0</v>
      </c>
      <c r="J42" s="15"/>
      <c r="L42" s="13">
        <f>'TUSD BE'!$L$42*'TUSD BE'!$L$58</f>
        <v>0</v>
      </c>
      <c r="M42" s="13">
        <f>'TUSD BE'!$M$42*'TUSD BE'!$M$58</f>
        <v>-2.2657363822565332E-2</v>
      </c>
      <c r="N42" s="13">
        <f ca="1">'TUSD BE'!$N$42*'TUSD BE'!$N$58</f>
        <v>0</v>
      </c>
      <c r="O42" s="13">
        <f>'TUSD BE'!$O$42*'TUSD BE'!$O$58</f>
        <v>0</v>
      </c>
      <c r="P42" s="13">
        <f>'TUSD BE'!$P$42*'TUSD BE'!$P$58</f>
        <v>0</v>
      </c>
      <c r="Q42" s="13">
        <f>'TUSD BE'!$Q$42*'TUSD BE'!$Q$58</f>
        <v>-0.75544384428640787</v>
      </c>
      <c r="R42" s="13">
        <f>'TUSD BE'!$R$42*'TUSD BE'!$R$58</f>
        <v>-0.12020486061023399</v>
      </c>
      <c r="S42" s="13">
        <f>'TUSD BE'!$R$42*'TUSD BE'!$S$58</f>
        <v>0</v>
      </c>
      <c r="T42" s="13">
        <f ca="1">SUM($L$42:$S$42)</f>
        <v>-0.89830606871920715</v>
      </c>
      <c r="U42" s="13">
        <f>'TUSD BE'!$U$42*'TUSD BE'!$U$58</f>
        <v>0</v>
      </c>
      <c r="V42" s="13">
        <f>'TUSD BE'!$V$42*'TUSD BE'!$V$58</f>
        <v>0</v>
      </c>
      <c r="W42" s="13">
        <f>'TUSD BE'!$W$42*'TUSD BE'!$W$58</f>
        <v>0</v>
      </c>
      <c r="X42" s="13">
        <f>'TUSD BE'!$X$42*'TUSD BE'!$X$58</f>
        <v>0</v>
      </c>
      <c r="Y42" s="13">
        <f>'TUSD BE'!$Y$42*'TUSD BE'!$Y$58</f>
        <v>-3.2050639501290359</v>
      </c>
      <c r="Z42" s="13">
        <f>'TUSD BE'!$Z$42*'TUSD BE'!$Z$58</f>
        <v>0</v>
      </c>
      <c r="AA42" s="13">
        <f>'TUSD BE'!$AA$42*'TUSD BE'!$AA$58</f>
        <v>0</v>
      </c>
      <c r="AB42" s="13">
        <f>SUM($U$42:$AA$42)</f>
        <v>-3.2050639501290359</v>
      </c>
      <c r="AC42" s="13">
        <f>'TUSD BE'!$AC$42*'TUSD BE'!$AC$58</f>
        <v>-92.110174224351184</v>
      </c>
      <c r="AD42" s="13">
        <f>SUM($AC$42:$AC$42)</f>
        <v>-92.110174224351184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BE'!$AH$58</f>
        <v>-0.39599063408162205</v>
      </c>
      <c r="AI42" s="13">
        <f>'TUSD BE'!$AI$42*'TUSD BE'!$AI$58</f>
        <v>0</v>
      </c>
      <c r="AJ42" s="13">
        <f ca="1">'TUSD BE'!$AJ$42*'TUSD BE'!$AJ$58</f>
        <v>0</v>
      </c>
      <c r="AK42" s="13">
        <f ca="1">'TUSD BE'!$AK$42*'TUSD BE'!$AK$58</f>
        <v>0</v>
      </c>
      <c r="AL42" s="13">
        <f ca="1">SUM($AH$42:$AK$42)</f>
        <v>-0.39599063408162205</v>
      </c>
      <c r="AM42" s="13">
        <f ca="1">SUMIF($L$4:$AL$4,"SUBTOTAL",$L$42:$AL$42)</f>
        <v>-96.60953487728105</v>
      </c>
      <c r="AO42" s="20">
        <f ca="1">+'TUSD BE'!$T$42+'TUSD BE'!$AB$42+'TUSD BE'!$AD$42+'TUSD BE'!$AL$42</f>
        <v>756.32608161848884</v>
      </c>
      <c r="AP42" s="20">
        <f ca="1">+'TUSD BE'!$T$42+'TUSD BE'!$AB$42+'TUSD BE'!$AD$42+'TUSD BE'!$AL$42</f>
        <v>756.32608161848884</v>
      </c>
    </row>
    <row r="43" spans="1:42" ht="11.25" customHeight="1" x14ac:dyDescent="0.3">
      <c r="A43" s="92"/>
      <c r="B43" s="92"/>
      <c r="C43" s="92"/>
      <c r="D43" s="17" t="s">
        <v>85</v>
      </c>
      <c r="E43" s="17" t="s">
        <v>25</v>
      </c>
      <c r="F43" s="17" t="s">
        <v>25</v>
      </c>
      <c r="G43" s="18" t="s">
        <v>75</v>
      </c>
      <c r="H43" s="18" t="s">
        <v>69</v>
      </c>
      <c r="I43" s="18">
        <f>'MERCADO TUSD'!$U$40</f>
        <v>0</v>
      </c>
      <c r="J43" s="15"/>
      <c r="L43" s="13">
        <f>'TUSD BE'!$L$43*'TUSD BE'!$L$58</f>
        <v>0</v>
      </c>
      <c r="M43" s="13">
        <f>'TUSD BE'!$M$43*'TUSD BE'!$M$58</f>
        <v>-2.2657363822565332E-2</v>
      </c>
      <c r="N43" s="13">
        <f ca="1">'TUSD BE'!$N$43*'TUSD BE'!$N$58</f>
        <v>0</v>
      </c>
      <c r="O43" s="13">
        <f>'TUSD BE'!$O$43*'TUSD BE'!$O$58</f>
        <v>0</v>
      </c>
      <c r="P43" s="13">
        <f>'TUSD BE'!$P$43*'TUSD BE'!$P$58</f>
        <v>0</v>
      </c>
      <c r="Q43" s="13">
        <f>'TUSD BE'!$Q$43*'TUSD BE'!$Q$58</f>
        <v>-0.75544384428640787</v>
      </c>
      <c r="R43" s="13">
        <f>'TUSD BE'!$R$43*'TUSD BE'!$R$58</f>
        <v>-0.12020486061023399</v>
      </c>
      <c r="S43" s="13">
        <f>'TUSD BE'!$R$43*'TUSD BE'!$S$58</f>
        <v>0</v>
      </c>
      <c r="T43" s="13">
        <f ca="1">SUM($L$43:$S$43)</f>
        <v>-0.89830606871920715</v>
      </c>
      <c r="U43" s="13">
        <f>'TUSD BE'!$U$43*'TUSD BE'!$U$58</f>
        <v>0</v>
      </c>
      <c r="V43" s="13">
        <f>'TUSD BE'!$V$43*'TUSD BE'!$V$58</f>
        <v>0</v>
      </c>
      <c r="W43" s="13">
        <f>'TUSD BE'!$W$43*'TUSD BE'!$W$58</f>
        <v>0</v>
      </c>
      <c r="X43" s="13">
        <f>'TUSD BE'!$X$43*'TUSD BE'!$X$58</f>
        <v>0</v>
      </c>
      <c r="Y43" s="13">
        <f>'TUSD BE'!$Y$43*'TUSD BE'!$Y$58</f>
        <v>-3.2050639501290359</v>
      </c>
      <c r="Z43" s="13">
        <f>'TUSD BE'!$Z$43*'TUSD BE'!$Z$58</f>
        <v>0</v>
      </c>
      <c r="AA43" s="13">
        <f>'TUSD BE'!$AA$43*'TUSD BE'!$AA$58</f>
        <v>0</v>
      </c>
      <c r="AB43" s="13">
        <f>SUM($U$43:$AA$43)</f>
        <v>-3.2050639501290359</v>
      </c>
      <c r="AC43" s="13">
        <f>'TUSD BE'!$AC$43*'TUSD BE'!$AC$58</f>
        <v>-92.110174224351184</v>
      </c>
      <c r="AD43" s="13">
        <f>SUM($AC$43:$AC$43)</f>
        <v>-92.110174224351184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BE'!$AH$58</f>
        <v>-0.39599063408162205</v>
      </c>
      <c r="AI43" s="13">
        <f>'TUSD BE'!$AI$43*'TUSD BE'!$AI$58</f>
        <v>0</v>
      </c>
      <c r="AJ43" s="13">
        <f ca="1">'TUSD BE'!$AJ$43*'TUSD BE'!$AJ$58</f>
        <v>0</v>
      </c>
      <c r="AK43" s="13">
        <f ca="1">'TUSD BE'!$AK$43*'TUSD BE'!$AK$58</f>
        <v>0</v>
      </c>
      <c r="AL43" s="13">
        <f ca="1">SUM($AH$43:$AK$43)</f>
        <v>-0.39599063408162205</v>
      </c>
      <c r="AM43" s="13">
        <f ca="1">SUMIF($L$4:$AL$4,"SUBTOTAL",$L$43:$AL$43)</f>
        <v>-96.60953487728105</v>
      </c>
      <c r="AO43" s="20">
        <f ca="1">+'TUSD BE'!$T$43+'TUSD BE'!$AB$43+'TUSD BE'!$AD$43+'TUSD BE'!$AL$43</f>
        <v>756.32608161848884</v>
      </c>
      <c r="AP43" s="20">
        <f ca="1">+'TUSD BE'!$T$43+'TUSD BE'!$AB$43+'TUSD BE'!$AD$43+'TUSD BE'!$AL$43</f>
        <v>756.32608161848884</v>
      </c>
    </row>
    <row r="44" spans="1:42" ht="11.25" customHeight="1" x14ac:dyDescent="0.3">
      <c r="A44" s="92"/>
      <c r="B44" s="92"/>
      <c r="C44" s="92"/>
      <c r="D44" s="17" t="s">
        <v>86</v>
      </c>
      <c r="E44" s="17" t="s">
        <v>25</v>
      </c>
      <c r="F44" s="17" t="s">
        <v>25</v>
      </c>
      <c r="G44" s="18" t="s">
        <v>75</v>
      </c>
      <c r="H44" s="18" t="s">
        <v>69</v>
      </c>
      <c r="I44" s="18">
        <f>'MERCADO TUSD'!$U$41</f>
        <v>0</v>
      </c>
      <c r="J44" s="15"/>
      <c r="L44" s="13">
        <f>'TUSD BE'!$L$44*'TUSD BE'!$L$58</f>
        <v>0</v>
      </c>
      <c r="M44" s="13">
        <f>'TUSD BE'!$M$44*'TUSD BE'!$M$58</f>
        <v>-2.2657363822565332E-2</v>
      </c>
      <c r="N44" s="13">
        <f ca="1">'TUSD BE'!$N$44*'TUSD BE'!$N$58</f>
        <v>0</v>
      </c>
      <c r="O44" s="13">
        <f>'TUSD BE'!$O$44*'TUSD BE'!$O$58</f>
        <v>0</v>
      </c>
      <c r="P44" s="13">
        <f>'TUSD BE'!$P$44*'TUSD BE'!$P$58</f>
        <v>0</v>
      </c>
      <c r="Q44" s="13">
        <f>'TUSD BE'!$Q$44*'TUSD BE'!$Q$58</f>
        <v>-0.75544384428640787</v>
      </c>
      <c r="R44" s="13">
        <f>'TUSD BE'!$R$44*'TUSD BE'!$R$58</f>
        <v>-0.12020486061023399</v>
      </c>
      <c r="S44" s="13">
        <f>'TUSD BE'!$R$44*'TUSD BE'!$S$58</f>
        <v>0</v>
      </c>
      <c r="T44" s="13">
        <f ca="1">SUM($L$44:$S$44)</f>
        <v>-0.89830606871920715</v>
      </c>
      <c r="U44" s="13">
        <f>'TUSD BE'!$U$44*'TUSD BE'!$U$58</f>
        <v>0</v>
      </c>
      <c r="V44" s="13">
        <f>'TUSD BE'!$V$44*'TUSD BE'!$V$58</f>
        <v>0</v>
      </c>
      <c r="W44" s="13">
        <f>'TUSD BE'!$W$44*'TUSD BE'!$W$58</f>
        <v>0</v>
      </c>
      <c r="X44" s="13">
        <f>'TUSD BE'!$X$44*'TUSD BE'!$X$58</f>
        <v>0</v>
      </c>
      <c r="Y44" s="13">
        <f>'TUSD BE'!$Y$44*'TUSD BE'!$Y$58</f>
        <v>-3.2050639501290359</v>
      </c>
      <c r="Z44" s="13">
        <f>'TUSD BE'!$Z$44*'TUSD BE'!$Z$58</f>
        <v>0</v>
      </c>
      <c r="AA44" s="13">
        <f>'TUSD BE'!$AA$44*'TUSD BE'!$AA$58</f>
        <v>0</v>
      </c>
      <c r="AB44" s="13">
        <f>SUM($U$44:$AA$44)</f>
        <v>-3.2050639501290359</v>
      </c>
      <c r="AC44" s="13">
        <f>'TUSD BE'!$AC$44*'TUSD BE'!$AC$58</f>
        <v>-92.110174224351184</v>
      </c>
      <c r="AD44" s="13">
        <f>SUM($AC$44:$AC$44)</f>
        <v>-92.110174224351184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BE'!$AH$58</f>
        <v>-0.39599063408162205</v>
      </c>
      <c r="AI44" s="13">
        <f>'TUSD BE'!$AI$44*'TUSD BE'!$AI$58</f>
        <v>0</v>
      </c>
      <c r="AJ44" s="13">
        <f ca="1">'TUSD BE'!$AJ$44*'TUSD BE'!$AJ$58</f>
        <v>0</v>
      </c>
      <c r="AK44" s="13">
        <f ca="1">'TUSD BE'!$AK$44*'TUSD BE'!$AK$58</f>
        <v>0</v>
      </c>
      <c r="AL44" s="13">
        <f ca="1">SUM($AH$44:$AK$44)</f>
        <v>-0.39599063408162205</v>
      </c>
      <c r="AM44" s="13">
        <f ca="1">SUMIF($L$4:$AL$4,"SUBTOTAL",$L$44:$AL$44)</f>
        <v>-96.60953487728105</v>
      </c>
      <c r="AO44" s="20">
        <f ca="1">+'TUSD BE'!$T$44+'TUSD BE'!$AB$44+'TUSD BE'!$AD$44+'TUSD BE'!$AL$44</f>
        <v>756.32608161848884</v>
      </c>
      <c r="AP44" s="20">
        <f ca="1">+'TUSD BE'!$T$44+'TUSD BE'!$AB$44+'TUSD BE'!$AD$44+'TUSD BE'!$AL$44</f>
        <v>756.32608161848884</v>
      </c>
    </row>
    <row r="45" spans="1:42" ht="11.25" customHeight="1" x14ac:dyDescent="0.3">
      <c r="A45" s="92" t="s">
        <v>33</v>
      </c>
      <c r="B45" s="92" t="s">
        <v>39</v>
      </c>
      <c r="C45" s="92" t="s">
        <v>25</v>
      </c>
      <c r="D45" s="92" t="s">
        <v>25</v>
      </c>
      <c r="E45" s="92" t="s">
        <v>25</v>
      </c>
      <c r="F45" s="92" t="s">
        <v>25</v>
      </c>
      <c r="G45" s="18" t="s">
        <v>70</v>
      </c>
      <c r="H45" s="18" t="s">
        <v>69</v>
      </c>
      <c r="I45" s="18">
        <f>'MERCADO TUSD'!$U$42</f>
        <v>1.0529999999999999</v>
      </c>
      <c r="J45" s="15"/>
      <c r="L45" s="13">
        <f>'TUSD BE'!$L$45*'TUSD BE'!$L$58</f>
        <v>0</v>
      </c>
      <c r="M45" s="13">
        <f>'TUSD BE'!$M$45*'TUSD BE'!$M$58</f>
        <v>-2.2657363822565332E-2</v>
      </c>
      <c r="N45" s="13">
        <f ca="1">'TUSD BE'!$N$45*'TUSD BE'!$N$58</f>
        <v>0</v>
      </c>
      <c r="O45" s="13">
        <f>'TUSD BE'!$O$45*'TUSD BE'!$O$58</f>
        <v>0</v>
      </c>
      <c r="P45" s="13">
        <f>'TUSD BE'!$P$45*'TUSD BE'!$P$58</f>
        <v>0</v>
      </c>
      <c r="Q45" s="13">
        <f>'TUSD BE'!$Q$45*'TUSD BE'!$Q$58</f>
        <v>-0.75544384428640787</v>
      </c>
      <c r="R45" s="13">
        <f>'TUSD BE'!$R$45*'TUSD BE'!$R$58</f>
        <v>-0.12020486061023399</v>
      </c>
      <c r="S45" s="13">
        <f>'TUSD BE'!$R$45*'TUSD BE'!$S$58</f>
        <v>0</v>
      </c>
      <c r="T45" s="13">
        <f ca="1">SUM($L$45:$S$45)</f>
        <v>-0.89830606871920715</v>
      </c>
      <c r="U45" s="13">
        <f>'TUSD BE'!$U$45*'TUSD BE'!$U$58</f>
        <v>0</v>
      </c>
      <c r="V45" s="13">
        <f>'TUSD BE'!$V$45*'TUSD BE'!$V$58</f>
        <v>0</v>
      </c>
      <c r="W45" s="13">
        <f>'TUSD BE'!$W$45*'TUSD BE'!$W$58</f>
        <v>0</v>
      </c>
      <c r="X45" s="13">
        <f>'TUSD BE'!$X$45*'TUSD BE'!$X$58</f>
        <v>0</v>
      </c>
      <c r="Y45" s="13">
        <f>'TUSD BE'!$Y$45*'TUSD BE'!$Y$58</f>
        <v>-10.896124231440677</v>
      </c>
      <c r="Z45" s="13">
        <f>'TUSD BE'!$Z$45*'TUSD BE'!$Z$58</f>
        <v>0</v>
      </c>
      <c r="AA45" s="13">
        <f>'TUSD BE'!$AA$45*'TUSD BE'!$AA$58</f>
        <v>0</v>
      </c>
      <c r="AB45" s="13">
        <f>SUM($U$45:$AA$45)</f>
        <v>-10.896124231440677</v>
      </c>
      <c r="AC45" s="13">
        <f>'TUSD BE'!$AC$45*'TUSD BE'!$AC$58</f>
        <v>-313.17458151274894</v>
      </c>
      <c r="AD45" s="13">
        <f>SUM($AC$45:$AC$45)</f>
        <v>-313.17458151274894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BE'!$AH$58</f>
        <v>-0.39599063408162205</v>
      </c>
      <c r="AI45" s="13">
        <f>'TUSD BE'!$AI$45*'TUSD BE'!$AI$58</f>
        <v>0</v>
      </c>
      <c r="AJ45" s="13">
        <f ca="1">'TUSD BE'!$AJ$45*'TUSD BE'!$AJ$58</f>
        <v>0</v>
      </c>
      <c r="AK45" s="13">
        <f ca="1">'TUSD BE'!$AK$45*'TUSD BE'!$AK$58</f>
        <v>0</v>
      </c>
      <c r="AL45" s="13">
        <f ca="1">SUM($AH$45:$AK$45)</f>
        <v>-0.39599063408162205</v>
      </c>
      <c r="AM45" s="13">
        <f ca="1">SUMIF($L$4:$AL$4,"SUBTOTAL",$L$45:$AL$45)</f>
        <v>-325.36500244699045</v>
      </c>
      <c r="AO45" s="20">
        <f ca="1">+'TUSD BE'!$T$45+'TUSD BE'!$AB$45+'TUSD BE'!$AD$45+'TUSD BE'!$AL$45</f>
        <v>2263.1202155799824</v>
      </c>
      <c r="AP45" s="20">
        <f ca="1">+'TUSD BE'!$T$45+'TUSD BE'!$AB$45+'TUSD BE'!$AD$45+'TUSD BE'!$AL$45</f>
        <v>2263.1202155799824</v>
      </c>
    </row>
    <row r="46" spans="1:42" ht="11.25" customHeight="1" x14ac:dyDescent="0.3">
      <c r="A46" s="92"/>
      <c r="B46" s="92"/>
      <c r="C46" s="92"/>
      <c r="D46" s="92"/>
      <c r="E46" s="92"/>
      <c r="F46" s="92"/>
      <c r="G46" s="18" t="s">
        <v>81</v>
      </c>
      <c r="H46" s="18" t="s">
        <v>69</v>
      </c>
      <c r="I46" s="18">
        <f>'MERCADO TUSD'!$U$43</f>
        <v>2.1969999999999996</v>
      </c>
      <c r="J46" s="15"/>
      <c r="L46" s="13">
        <f>'TUSD BE'!$L$46*'TUSD BE'!$L$58</f>
        <v>0</v>
      </c>
      <c r="M46" s="13">
        <f>'TUSD BE'!$M$46*'TUSD BE'!$M$58</f>
        <v>-2.2657363822565332E-2</v>
      </c>
      <c r="N46" s="13">
        <f ca="1">'TUSD BE'!$N$46*'TUSD BE'!$N$58</f>
        <v>0</v>
      </c>
      <c r="O46" s="13">
        <f>'TUSD BE'!$O$46*'TUSD BE'!$O$58</f>
        <v>0</v>
      </c>
      <c r="P46" s="13">
        <f>'TUSD BE'!$P$46*'TUSD BE'!$P$58</f>
        <v>0</v>
      </c>
      <c r="Q46" s="13">
        <f>'TUSD BE'!$Q$46*'TUSD BE'!$Q$58</f>
        <v>-0.75544384428640787</v>
      </c>
      <c r="R46" s="13">
        <f>'TUSD BE'!$R$46*'TUSD BE'!$R$58</f>
        <v>-0.12020486061023399</v>
      </c>
      <c r="S46" s="13">
        <f>'TUSD BE'!$R$46*'TUSD BE'!$S$58</f>
        <v>0</v>
      </c>
      <c r="T46" s="13">
        <f ca="1">SUM($L$46:$S$46)</f>
        <v>-0.89830606871920715</v>
      </c>
      <c r="U46" s="13">
        <f>'TUSD BE'!$U$46*'TUSD BE'!$U$58</f>
        <v>0</v>
      </c>
      <c r="V46" s="13">
        <f>'TUSD BE'!$V$46*'TUSD BE'!$V$58</f>
        <v>0</v>
      </c>
      <c r="W46" s="13">
        <f>'TUSD BE'!$W$46*'TUSD BE'!$W$58</f>
        <v>0</v>
      </c>
      <c r="X46" s="13">
        <f>'TUSD BE'!$X$46*'TUSD BE'!$X$58</f>
        <v>0</v>
      </c>
      <c r="Y46" s="13">
        <f>'TUSD BE'!$Y$46*'TUSD BE'!$Y$58</f>
        <v>-6.5358517457695164</v>
      </c>
      <c r="Z46" s="13">
        <f>'TUSD BE'!$Z$46*'TUSD BE'!$Z$58</f>
        <v>0</v>
      </c>
      <c r="AA46" s="13">
        <f>'TUSD BE'!$AA$46*'TUSD BE'!$AA$58</f>
        <v>0</v>
      </c>
      <c r="AB46" s="13">
        <f>SUM($U$46:$AA$46)</f>
        <v>-6.5358517457695164</v>
      </c>
      <c r="AC46" s="13">
        <f>'TUSD BE'!$AC$46*'TUSD BE'!$AC$58</f>
        <v>-187.90473444092251</v>
      </c>
      <c r="AD46" s="13">
        <f>SUM($AC$46:$AC$46)</f>
        <v>-187.90473444092251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BE'!$AH$58</f>
        <v>-0.39599063408162205</v>
      </c>
      <c r="AI46" s="13">
        <f>'TUSD BE'!$AI$46*'TUSD BE'!$AI$58</f>
        <v>0</v>
      </c>
      <c r="AJ46" s="13">
        <f ca="1">'TUSD BE'!$AJ$46*'TUSD BE'!$AJ$58</f>
        <v>0</v>
      </c>
      <c r="AK46" s="13">
        <f ca="1">'TUSD BE'!$AK$46*'TUSD BE'!$AK$58</f>
        <v>0</v>
      </c>
      <c r="AL46" s="13">
        <f ca="1">SUM($AH$46:$AK$46)</f>
        <v>-0.39599063408162205</v>
      </c>
      <c r="AM46" s="13">
        <f ca="1">SUMIF($L$4:$AL$4,"SUBTOTAL",$L$46:$AL$46)</f>
        <v>-195.73488288949284</v>
      </c>
      <c r="AO46" s="20">
        <f ca="1">+'TUSD BE'!$T$46+'TUSD BE'!$AB$46+'TUSD BE'!$AD$46+'TUSD BE'!$AL$46</f>
        <v>1409.2016258210901</v>
      </c>
      <c r="AP46" s="20">
        <f ca="1">+'TUSD BE'!$T$46+'TUSD BE'!$AB$46+'TUSD BE'!$AD$46+'TUSD BE'!$AL$46</f>
        <v>1409.2016258210901</v>
      </c>
    </row>
    <row r="47" spans="1:42" ht="11.25" customHeight="1" x14ac:dyDescent="0.3">
      <c r="A47" s="92"/>
      <c r="B47" s="92"/>
      <c r="C47" s="92"/>
      <c r="D47" s="92"/>
      <c r="E47" s="92"/>
      <c r="F47" s="92"/>
      <c r="G47" s="18" t="s">
        <v>71</v>
      </c>
      <c r="H47" s="18" t="s">
        <v>69</v>
      </c>
      <c r="I47" s="18">
        <f>'MERCADO TUSD'!$U$44</f>
        <v>373.07</v>
      </c>
      <c r="J47" s="15"/>
      <c r="L47" s="13">
        <f>'TUSD BE'!$L$47*'TUSD BE'!$L$58</f>
        <v>0</v>
      </c>
      <c r="M47" s="13">
        <f>'TUSD BE'!$M$47*'TUSD BE'!$M$58</f>
        <v>-2.2657363822565332E-2</v>
      </c>
      <c r="N47" s="13">
        <f ca="1">'TUSD BE'!$N$47*'TUSD BE'!$N$58</f>
        <v>0</v>
      </c>
      <c r="O47" s="13">
        <f>'TUSD BE'!$O$47*'TUSD BE'!$O$58</f>
        <v>0</v>
      </c>
      <c r="P47" s="13">
        <f>'TUSD BE'!$P$47*'TUSD BE'!$P$58</f>
        <v>0</v>
      </c>
      <c r="Q47" s="13">
        <f>'TUSD BE'!$Q$47*'TUSD BE'!$Q$58</f>
        <v>-0.75544384428640787</v>
      </c>
      <c r="R47" s="13">
        <f>'TUSD BE'!$R$47*'TUSD BE'!$R$58</f>
        <v>-0.12020486061023399</v>
      </c>
      <c r="S47" s="13">
        <f>'TUSD BE'!$R$47*'TUSD BE'!$S$58</f>
        <v>0</v>
      </c>
      <c r="T47" s="13">
        <f ca="1">SUM($L$47:$S$47)</f>
        <v>-0.89830606871920715</v>
      </c>
      <c r="U47" s="13">
        <f>'TUSD BE'!$U$47*'TUSD BE'!$U$58</f>
        <v>0</v>
      </c>
      <c r="V47" s="13">
        <f>'TUSD BE'!$V$47*'TUSD BE'!$V$58</f>
        <v>0</v>
      </c>
      <c r="W47" s="13">
        <f>'TUSD BE'!$W$47*'TUSD BE'!$W$58</f>
        <v>0</v>
      </c>
      <c r="X47" s="13">
        <f>'TUSD BE'!$X$47*'TUSD BE'!$X$58</f>
        <v>0</v>
      </c>
      <c r="Y47" s="13">
        <f>'TUSD BE'!$Y$47*'TUSD BE'!$Y$58</f>
        <v>-2.1792242502145265</v>
      </c>
      <c r="Z47" s="13">
        <f>'TUSD BE'!$Z$47*'TUSD BE'!$Z$58</f>
        <v>0</v>
      </c>
      <c r="AA47" s="13">
        <f>'TUSD BE'!$AA$47*'TUSD BE'!$AA$58</f>
        <v>0</v>
      </c>
      <c r="AB47" s="13">
        <f>SUM($U$47:$AA$47)</f>
        <v>-2.1792242502145265</v>
      </c>
      <c r="AC47" s="13">
        <f>'TUSD BE'!$AC$47*'TUSD BE'!$AC$58</f>
        <v>-62.634977786138862</v>
      </c>
      <c r="AD47" s="13">
        <f>SUM($AC$47:$AC$47)</f>
        <v>-62.634977786138862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BE'!$AH$58</f>
        <v>-0.39599063408162205</v>
      </c>
      <c r="AI47" s="13">
        <f>'TUSD BE'!$AI$47*'TUSD BE'!$AI$58</f>
        <v>0</v>
      </c>
      <c r="AJ47" s="13">
        <f ca="1">'TUSD BE'!$AJ$47*'TUSD BE'!$AJ$58</f>
        <v>0</v>
      </c>
      <c r="AK47" s="13">
        <f ca="1">'TUSD BE'!$AK$47*'TUSD BE'!$AK$58</f>
        <v>0</v>
      </c>
      <c r="AL47" s="13">
        <f ca="1">SUM($AH$47:$AK$47)</f>
        <v>-0.39599063408162205</v>
      </c>
      <c r="AM47" s="13">
        <f ca="1">SUMIF($L$4:$AL$4,"SUBTOTAL",$L$47:$AL$47)</f>
        <v>-66.108498739154228</v>
      </c>
      <c r="AO47" s="20">
        <f ca="1">+'TUSD BE'!$T$47+'TUSD BE'!$AB$47+'TUSD BE'!$AD$47+'TUSD BE'!$AL$47</f>
        <v>555.40805478830748</v>
      </c>
      <c r="AP47" s="20">
        <f ca="1">+'TUSD BE'!$T$47+'TUSD BE'!$AB$47+'TUSD BE'!$AD$47+'TUSD BE'!$AL$47</f>
        <v>555.40805478830748</v>
      </c>
    </row>
    <row r="48" spans="1:42" ht="11.25" customHeight="1" x14ac:dyDescent="0.3">
      <c r="A48" s="92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75</v>
      </c>
      <c r="H48" s="18" t="s">
        <v>69</v>
      </c>
      <c r="I48" s="18">
        <f>'MERCADO TUSD'!$U$45</f>
        <v>3199.5530000000003</v>
      </c>
      <c r="J48" s="15"/>
      <c r="L48" s="13">
        <f>'TUSD BE'!$L$48*'TUSD BE'!$L$58</f>
        <v>0</v>
      </c>
      <c r="M48" s="13">
        <f>'TUSD BE'!$M$48*'TUSD BE'!$M$58</f>
        <v>-2.2657363822565332E-2</v>
      </c>
      <c r="N48" s="13">
        <f ca="1">'TUSD BE'!$N$48*'TUSD BE'!$N$58</f>
        <v>0</v>
      </c>
      <c r="O48" s="13">
        <f>'TUSD BE'!$O$48*'TUSD BE'!$O$58</f>
        <v>0</v>
      </c>
      <c r="P48" s="13">
        <f>'TUSD BE'!$P$48*'TUSD BE'!$P$58</f>
        <v>0</v>
      </c>
      <c r="Q48" s="13">
        <f>'TUSD BE'!$Q$48*'TUSD BE'!$Q$58</f>
        <v>-0.75544384428640787</v>
      </c>
      <c r="R48" s="13">
        <f>'TUSD BE'!$R$48*'TUSD BE'!$R$58</f>
        <v>-0.12020486061023399</v>
      </c>
      <c r="S48" s="13">
        <f>'TUSD BE'!$R$48*'TUSD BE'!$S$58</f>
        <v>0</v>
      </c>
      <c r="T48" s="13">
        <f ca="1">SUM($L$48:$S$48)</f>
        <v>-0.89830606871920715</v>
      </c>
      <c r="U48" s="13">
        <f>'TUSD BE'!$U$48*'TUSD BE'!$U$58</f>
        <v>0</v>
      </c>
      <c r="V48" s="13">
        <f>'TUSD BE'!$V$48*'TUSD BE'!$V$58</f>
        <v>0</v>
      </c>
      <c r="W48" s="13">
        <f>'TUSD BE'!$W$48*'TUSD BE'!$W$58</f>
        <v>0</v>
      </c>
      <c r="X48" s="13">
        <f>'TUSD BE'!$X$48*'TUSD BE'!$X$58</f>
        <v>0</v>
      </c>
      <c r="Y48" s="13">
        <f>'TUSD BE'!$Y$48*'TUSD BE'!$Y$58</f>
        <v>-3.2050639501290359</v>
      </c>
      <c r="Z48" s="13">
        <f>'TUSD BE'!$Z$48*'TUSD BE'!$Z$58</f>
        <v>0</v>
      </c>
      <c r="AA48" s="13">
        <f>'TUSD BE'!$AA$48*'TUSD BE'!$AA$58</f>
        <v>0</v>
      </c>
      <c r="AB48" s="13">
        <f>SUM($U$48:$AA$48)</f>
        <v>-3.2050639501290359</v>
      </c>
      <c r="AC48" s="13">
        <f>'TUSD BE'!$AC$48*'TUSD BE'!$AC$58</f>
        <v>-92.110174224351184</v>
      </c>
      <c r="AD48" s="13">
        <f>SUM($AC$48:$AC$48)</f>
        <v>-92.110174224351184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BE'!$AH$58</f>
        <v>-0.39599063408162205</v>
      </c>
      <c r="AI48" s="13">
        <f>'TUSD BE'!$AI$48*'TUSD BE'!$AI$58</f>
        <v>0</v>
      </c>
      <c r="AJ48" s="13">
        <f ca="1">'TUSD BE'!$AJ$48*'TUSD BE'!$AJ$58</f>
        <v>0</v>
      </c>
      <c r="AK48" s="13">
        <f ca="1">'TUSD BE'!$AK$48*'TUSD BE'!$AK$58</f>
        <v>0</v>
      </c>
      <c r="AL48" s="13">
        <f ca="1">SUM($AH$48:$AK$48)</f>
        <v>-0.39599063408162205</v>
      </c>
      <c r="AM48" s="13">
        <f ca="1">SUMIF($L$4:$AL$4,"SUBTOTAL",$L$48:$AL$48)</f>
        <v>-96.60953487728105</v>
      </c>
      <c r="AO48" s="20">
        <f ca="1">+'TUSD BE'!$T$48+'TUSD BE'!$AB$48+'TUSD BE'!$AD$48+'TUSD BE'!$AL$48</f>
        <v>756.32608161848884</v>
      </c>
      <c r="AP48" s="20">
        <f ca="1">+'TUSD BE'!$T$48+'TUSD BE'!$AB$48+'TUSD BE'!$AD$48+'TUSD BE'!$AL$48</f>
        <v>756.32608161848884</v>
      </c>
    </row>
    <row r="49" spans="1:42" ht="11.25" customHeight="1" x14ac:dyDescent="0.3">
      <c r="A49" s="92"/>
      <c r="B49" s="17" t="s">
        <v>84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75</v>
      </c>
      <c r="H49" s="18" t="s">
        <v>69</v>
      </c>
      <c r="I49" s="18">
        <f>'MERCADO TUSD'!$U$46</f>
        <v>0</v>
      </c>
      <c r="J49" s="15"/>
      <c r="L49" s="13">
        <f>'TUSD BE'!$L$49*'TUSD BE'!$L$58</f>
        <v>0</v>
      </c>
      <c r="M49" s="13">
        <f>'TUSD BE'!$M$49*'TUSD BE'!$M$58</f>
        <v>-2.2657363822565332E-2</v>
      </c>
      <c r="N49" s="13">
        <f ca="1">'TUSD BE'!$N$49*'TUSD BE'!$N$58</f>
        <v>0</v>
      </c>
      <c r="O49" s="13">
        <f>'TUSD BE'!$O$49*'TUSD BE'!$O$58</f>
        <v>0</v>
      </c>
      <c r="P49" s="13">
        <f>'TUSD BE'!$P$49*'TUSD BE'!$P$58</f>
        <v>0</v>
      </c>
      <c r="Q49" s="13">
        <f>'TUSD BE'!$Q$49*'TUSD BE'!$Q$58</f>
        <v>-0.75544384428640787</v>
      </c>
      <c r="R49" s="13">
        <f>'TUSD BE'!$R$49*'TUSD BE'!$R$58</f>
        <v>-0.12020486061023399</v>
      </c>
      <c r="S49" s="13">
        <f>'TUSD BE'!$R$49*'TUSD BE'!$S$58</f>
        <v>0</v>
      </c>
      <c r="T49" s="13">
        <f ca="1">SUM($L$49:$S$49)</f>
        <v>-0.89830606871920715</v>
      </c>
      <c r="U49" s="13">
        <f>'TUSD BE'!$U$49*'TUSD BE'!$U$58</f>
        <v>0</v>
      </c>
      <c r="V49" s="13">
        <f>'TUSD BE'!$V$49*'TUSD BE'!$V$58</f>
        <v>0</v>
      </c>
      <c r="W49" s="13">
        <f>'TUSD BE'!$W$49*'TUSD BE'!$W$58</f>
        <v>0</v>
      </c>
      <c r="X49" s="13">
        <f>'TUSD BE'!$X$49*'TUSD BE'!$X$58</f>
        <v>0</v>
      </c>
      <c r="Y49" s="13">
        <f>'TUSD BE'!$Y$49*'TUSD BE'!$Y$58</f>
        <v>-3.2050639501290359</v>
      </c>
      <c r="Z49" s="13">
        <f>'TUSD BE'!$Z$49*'TUSD BE'!$Z$58</f>
        <v>0</v>
      </c>
      <c r="AA49" s="13">
        <f>'TUSD BE'!$AA$49*'TUSD BE'!$AA$58</f>
        <v>0</v>
      </c>
      <c r="AB49" s="13">
        <f>SUM($U$49:$AA$49)</f>
        <v>-3.2050639501290359</v>
      </c>
      <c r="AC49" s="13">
        <f>'TUSD BE'!$AC$49*'TUSD BE'!$AC$58</f>
        <v>-92.110174224351184</v>
      </c>
      <c r="AD49" s="13">
        <f>SUM($AC$49:$AC$49)</f>
        <v>-92.110174224351184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BE'!$AH$58</f>
        <v>-0.39599063408162205</v>
      </c>
      <c r="AI49" s="13">
        <f>'TUSD BE'!$AI$49*'TUSD BE'!$AI$58</f>
        <v>0</v>
      </c>
      <c r="AJ49" s="13">
        <f ca="1">'TUSD BE'!$AJ$49*'TUSD BE'!$AJ$58</f>
        <v>0</v>
      </c>
      <c r="AK49" s="13">
        <f ca="1">'TUSD BE'!$AK$49*'TUSD BE'!$AK$58</f>
        <v>0</v>
      </c>
      <c r="AL49" s="13">
        <f ca="1">SUM($AH$49:$AK$49)</f>
        <v>-0.39599063408162205</v>
      </c>
      <c r="AM49" s="13">
        <f ca="1">SUMIF($L$4:$AL$4,"SUBTOTAL",$L$49:$AL$49)</f>
        <v>-96.60953487728105</v>
      </c>
      <c r="AO49" s="20">
        <f ca="1">+'TUSD BE'!$T$49+'TUSD BE'!$AB$49+'TUSD BE'!$AD$49+'TUSD BE'!$AL$49</f>
        <v>756.32608161848884</v>
      </c>
      <c r="AP49" s="20">
        <f ca="1">+'TUSD BE'!$T$49+'TUSD BE'!$AB$49+'TUSD BE'!$AD$49+'TUSD BE'!$AL$49</f>
        <v>756.32608161848884</v>
      </c>
    </row>
    <row r="50" spans="1:42" ht="11.25" customHeight="1" x14ac:dyDescent="0.3">
      <c r="A50" s="92" t="s">
        <v>45</v>
      </c>
      <c r="B50" s="92" t="s">
        <v>23</v>
      </c>
      <c r="C50" s="92" t="s">
        <v>46</v>
      </c>
      <c r="D50" s="17" t="s">
        <v>47</v>
      </c>
      <c r="E50" s="17" t="s">
        <v>25</v>
      </c>
      <c r="F50" s="17" t="s">
        <v>25</v>
      </c>
      <c r="G50" s="18" t="s">
        <v>75</v>
      </c>
      <c r="H50" s="18" t="s">
        <v>69</v>
      </c>
      <c r="I50" s="18">
        <f>'MERCADO TUSD'!$U$47</f>
        <v>1010.7439999999999</v>
      </c>
      <c r="J50" s="15"/>
      <c r="L50" s="13">
        <f>'TUSD BE'!$L$50*'TUSD BE'!$L$58</f>
        <v>0</v>
      </c>
      <c r="M50" s="13">
        <f>'TUSD BE'!$M$50*'TUSD BE'!$M$58</f>
        <v>-1.2461550102410934E-2</v>
      </c>
      <c r="N50" s="13">
        <f ca="1">'TUSD BE'!$N$50*'TUSD BE'!$N$58</f>
        <v>0</v>
      </c>
      <c r="O50" s="13">
        <f>'TUSD BE'!$O$50*'TUSD BE'!$O$58</f>
        <v>0</v>
      </c>
      <c r="P50" s="13">
        <f>'TUSD BE'!$P$50*'TUSD BE'!$P$58</f>
        <v>0</v>
      </c>
      <c r="Q50" s="13">
        <f>'TUSD BE'!$Q$50*'TUSD BE'!$Q$58</f>
        <v>-0.41549411435752437</v>
      </c>
      <c r="R50" s="13">
        <f>'TUSD BE'!$R$50*'TUSD BE'!$R$58</f>
        <v>-6.6112673335628702E-2</v>
      </c>
      <c r="S50" s="13">
        <f>'TUSD BE'!$R$50*'TUSD BE'!$S$58</f>
        <v>0</v>
      </c>
      <c r="T50" s="13">
        <f ca="1">SUM($L$50:$S$50)</f>
        <v>-0.49406833779556403</v>
      </c>
      <c r="U50" s="13">
        <f>'TUSD BE'!$U$50*'TUSD BE'!$U$58</f>
        <v>0</v>
      </c>
      <c r="V50" s="13">
        <f>'TUSD BE'!$V$50*'TUSD BE'!$V$58</f>
        <v>0</v>
      </c>
      <c r="W50" s="13">
        <f>'TUSD BE'!$W$50*'TUSD BE'!$W$58</f>
        <v>0</v>
      </c>
      <c r="X50" s="13">
        <f>'TUSD BE'!$X$50*'TUSD BE'!$X$58</f>
        <v>0</v>
      </c>
      <c r="Y50" s="13">
        <f>'TUSD BE'!$Y$50*'TUSD BE'!$Y$58</f>
        <v>-1.7627851725709698</v>
      </c>
      <c r="Z50" s="13">
        <f>'TUSD BE'!$Z$50*'TUSD BE'!$Z$58</f>
        <v>0</v>
      </c>
      <c r="AA50" s="13">
        <f>'TUSD BE'!$AA$50*'TUSD BE'!$AA$58</f>
        <v>0</v>
      </c>
      <c r="AB50" s="13">
        <f>SUM($U$50:$AA$50)</f>
        <v>-1.7627851725709698</v>
      </c>
      <c r="AC50" s="13">
        <f>'TUSD BE'!$AC$50*'TUSD BE'!$AC$58</f>
        <v>-50.660595823393166</v>
      </c>
      <c r="AD50" s="13">
        <f>SUM($AC$50:$AC$50)</f>
        <v>-50.660595823393166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BE'!$AH$58</f>
        <v>-0.21779484874489216</v>
      </c>
      <c r="AI50" s="13">
        <f>'TUSD BE'!$AI$50*'TUSD BE'!$AI$58</f>
        <v>0</v>
      </c>
      <c r="AJ50" s="13">
        <f ca="1">'TUSD BE'!$AJ$50*'TUSD BE'!$AJ$58</f>
        <v>0</v>
      </c>
      <c r="AK50" s="13">
        <f ca="1">'TUSD BE'!$AK$50*'TUSD BE'!$AK$58</f>
        <v>0</v>
      </c>
      <c r="AL50" s="13">
        <f ca="1">SUM($AH$50:$AK$50)</f>
        <v>-0.21779484874489216</v>
      </c>
      <c r="AM50" s="13">
        <f ca="1">SUMIF($L$4:$AL$4,"SUBTOTAL",$L$50:$AL$50)</f>
        <v>-53.135244182504593</v>
      </c>
      <c r="AO50" s="20">
        <f ca="1">+'TUSD BE'!$T$50+'TUSD BE'!$AB$50+'TUSD BE'!$AD$50+'TUSD BE'!$AL$50</f>
        <v>415.97934489016893</v>
      </c>
      <c r="AP50" s="20">
        <f ca="1">+'TUSD BE'!$T$50+'TUSD BE'!$AB$50+'TUSD BE'!$AD$50+'TUSD BE'!$AL$50</f>
        <v>415.97934489016893</v>
      </c>
    </row>
    <row r="51" spans="1:42" ht="11.25" customHeight="1" x14ac:dyDescent="0.3">
      <c r="A51" s="92"/>
      <c r="B51" s="92"/>
      <c r="C51" s="92"/>
      <c r="D51" s="18" t="s">
        <v>87</v>
      </c>
      <c r="E51" s="18" t="s">
        <v>25</v>
      </c>
      <c r="F51" s="18" t="s">
        <v>25</v>
      </c>
      <c r="G51" s="18" t="s">
        <v>75</v>
      </c>
      <c r="H51" s="18" t="s">
        <v>69</v>
      </c>
      <c r="I51" s="18">
        <f>'MERCADO TUSD'!$U$48</f>
        <v>0</v>
      </c>
      <c r="J51" s="15"/>
      <c r="L51" s="13">
        <f>'TUSD BE'!$L$51*'TUSD BE'!$L$58</f>
        <v>0</v>
      </c>
      <c r="M51" s="13">
        <f>'TUSD BE'!$M$51*'TUSD BE'!$M$58</f>
        <v>-1.3594418293539197E-2</v>
      </c>
      <c r="N51" s="13">
        <f ca="1">'TUSD BE'!$N$51*'TUSD BE'!$N$58</f>
        <v>0</v>
      </c>
      <c r="O51" s="13">
        <f>'TUSD BE'!$O$51*'TUSD BE'!$O$58</f>
        <v>0</v>
      </c>
      <c r="P51" s="13">
        <f>'TUSD BE'!$P$51*'TUSD BE'!$P$58</f>
        <v>0</v>
      </c>
      <c r="Q51" s="13">
        <f>'TUSD BE'!$Q$51*'TUSD BE'!$Q$58</f>
        <v>-0.45326630657184469</v>
      </c>
      <c r="R51" s="13">
        <f>'TUSD BE'!$R$51*'TUSD BE'!$R$58</f>
        <v>-7.2122916366140377E-2</v>
      </c>
      <c r="S51" s="13">
        <f>'TUSD BE'!$R$51*'TUSD BE'!$S$58</f>
        <v>0</v>
      </c>
      <c r="T51" s="13">
        <f ca="1">SUM($L$51:$S$51)</f>
        <v>-0.53898364123152431</v>
      </c>
      <c r="U51" s="13">
        <f>'TUSD BE'!$U$51*'TUSD BE'!$U$58</f>
        <v>0</v>
      </c>
      <c r="V51" s="13">
        <f>'TUSD BE'!$V$51*'TUSD BE'!$V$58</f>
        <v>0</v>
      </c>
      <c r="W51" s="13">
        <f>'TUSD BE'!$W$51*'TUSD BE'!$W$58</f>
        <v>0</v>
      </c>
      <c r="X51" s="13">
        <f>'TUSD BE'!$X$51*'TUSD BE'!$X$58</f>
        <v>0</v>
      </c>
      <c r="Y51" s="13">
        <f>'TUSD BE'!$Y$51*'TUSD BE'!$Y$58</f>
        <v>-1.9230383700774214</v>
      </c>
      <c r="Z51" s="13">
        <f>'TUSD BE'!$Z$51*'TUSD BE'!$Z$58</f>
        <v>0</v>
      </c>
      <c r="AA51" s="13">
        <f>'TUSD BE'!$AA$51*'TUSD BE'!$AA$58</f>
        <v>0</v>
      </c>
      <c r="AB51" s="13">
        <f>SUM($U$51:$AA$51)</f>
        <v>-1.9230383700774214</v>
      </c>
      <c r="AC51" s="13">
        <f>'TUSD BE'!$AC$51*'TUSD BE'!$AC$58</f>
        <v>-55.266104534610719</v>
      </c>
      <c r="AD51" s="13">
        <f>SUM($AC$51:$AC$51)</f>
        <v>-55.266104534610719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BE'!$AH$58</f>
        <v>-0.23759438044897319</v>
      </c>
      <c r="AI51" s="13">
        <f>'TUSD BE'!$AI$51*'TUSD BE'!$AI$58</f>
        <v>0</v>
      </c>
      <c r="AJ51" s="13">
        <f ca="1">'TUSD BE'!$AJ$51*'TUSD BE'!$AJ$58</f>
        <v>0</v>
      </c>
      <c r="AK51" s="13">
        <f ca="1">'TUSD BE'!$AK$51*'TUSD BE'!$AK$58</f>
        <v>0</v>
      </c>
      <c r="AL51" s="13">
        <f ca="1">SUM($AH$51:$AK$51)</f>
        <v>-0.23759438044897319</v>
      </c>
      <c r="AM51" s="13">
        <f ca="1">SUMIF($L$4:$AL$4,"SUBTOTAL",$L$51:$AL$51)</f>
        <v>-57.96572092636864</v>
      </c>
      <c r="AO51" s="20">
        <f ca="1">+'TUSD BE'!$T$51+'TUSD BE'!$AB$51+'TUSD BE'!$AD$51+'TUSD BE'!$AL$51</f>
        <v>453.79564897109333</v>
      </c>
      <c r="AP51" s="20">
        <f ca="1">+'TUSD BE'!$T$51+'TUSD BE'!$AB$51+'TUSD BE'!$AD$51+'TUSD BE'!$AL$51</f>
        <v>453.79564897109333</v>
      </c>
    </row>
    <row r="53" spans="1:42" ht="11.25" customHeight="1" x14ac:dyDescent="0.3">
      <c r="K53" s="16" t="s">
        <v>533</v>
      </c>
      <c r="L53" s="13">
        <f>SUMPRODUCT($I$5:$I51,$L$5:$L51)</f>
        <v>0</v>
      </c>
      <c r="M53" s="13">
        <f>SUMPRODUCT($I$5:$I51,$M$5:$M51)</f>
        <v>-631.85794318233332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-29649.206855117376</v>
      </c>
      <c r="R53" s="13">
        <f>SUMPRODUCT($I$5:$I51,$R$5:$R51)</f>
        <v>-5292.8430167260058</v>
      </c>
      <c r="S53" s="13">
        <f>SUMPRODUCT($I$5:$I51,$S$5:$S51)</f>
        <v>0</v>
      </c>
      <c r="T53" s="13">
        <f ca="1">SUMPRODUCT($I$5:$I51,$T$5:$T51)</f>
        <v>-35573.907815025719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-142938.17947389829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-142938.17947389829</v>
      </c>
      <c r="AC53" s="13">
        <f>SUMPRODUCT($I$5:$I51,$AC$5:$AC51)</f>
        <v>-2548674.1739379391</v>
      </c>
      <c r="AD53" s="13">
        <f>SUMPRODUCT($I$5:$I51,$AD$5:$AD51)</f>
        <v>-2548674.1739379391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-11659.138765059775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-11659.138765059775</v>
      </c>
      <c r="AM53" s="13">
        <f ca="1">SUMPRODUCT($I$5:$I51,$AM$5:$AM51)</f>
        <v>-2738845.3999919225</v>
      </c>
      <c r="AO53" s="18">
        <f ca="1">SUMPRODUCT($I$5:$I51,$AO$5:$AO51)</f>
        <v>24099655.661250062</v>
      </c>
      <c r="AP53" s="18">
        <f ca="1">SUMPRODUCT($I$5:$I51,$AP$5:$AP51)</f>
        <v>24099655.661250062</v>
      </c>
    </row>
    <row r="54" spans="1:42" ht="11.25" customHeight="1" x14ac:dyDescent="0.3">
      <c r="K54" s="16" t="s">
        <v>465</v>
      </c>
      <c r="L54" s="13">
        <f>'TR TUSD'!$L$56</f>
        <v>0</v>
      </c>
      <c r="M54" s="13">
        <f>'TR TUSD'!$M$56</f>
        <v>60318.578824742086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3547574.1107399999</v>
      </c>
      <c r="R54" s="13">
        <f>'TR TUSD'!$R$56</f>
        <v>628596.9297000001</v>
      </c>
      <c r="S54" s="13">
        <f>'TR TUSD'!$S$56</f>
        <v>0</v>
      </c>
      <c r="T54" s="13">
        <f>'TR TUSD'!$T$56</f>
        <v>4236489.6192647424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4882651.6637400007</v>
      </c>
      <c r="Z54" s="13">
        <f>'TR TUSD'!$Z$56</f>
        <v>0</v>
      </c>
      <c r="AA54" s="13">
        <f>'TR TUSD'!$AA$56</f>
        <v>0</v>
      </c>
      <c r="AB54" s="13">
        <f>'TR TUSD'!$AB$56</f>
        <v>4882651.6637400007</v>
      </c>
      <c r="AC54" s="13">
        <f>'TR TUSD'!$AC$56</f>
        <v>14343053.986877607</v>
      </c>
      <c r="AD54" s="13">
        <f>'TR TUSD'!$AD$56</f>
        <v>14343053.986877607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637460.39136771404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637460.39136771404</v>
      </c>
      <c r="AM54" s="13">
        <f>'TUSD BE'!$AM$54</f>
        <v>24099655.661250066</v>
      </c>
      <c r="AO54" s="18">
        <f>$AE$55</f>
        <v>0</v>
      </c>
      <c r="AP54" s="18">
        <f>$AF$55</f>
        <v>0</v>
      </c>
    </row>
    <row r="55" spans="1:42" ht="11.25" customHeight="1" x14ac:dyDescent="0.3">
      <c r="K55" s="16" t="s">
        <v>466</v>
      </c>
      <c r="L55" s="13">
        <f>CUSTOS!$E$2</f>
        <v>0</v>
      </c>
      <c r="M55" s="13">
        <f>CUSTOS!$E$3</f>
        <v>-631.8579431823332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-29649.206855117383</v>
      </c>
      <c r="R55" s="13">
        <f>CUSTOS!$E$8</f>
        <v>-5292.8430167260067</v>
      </c>
      <c r="S55" s="13">
        <f>CUSTOS!$E$9</f>
        <v>0</v>
      </c>
      <c r="T55" s="13">
        <f>CUSTOS!$E$10</f>
        <v>-35573.907815025726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-142938.17947389829</v>
      </c>
      <c r="Z55" s="13">
        <f>CUSTOS!$E$16</f>
        <v>0</v>
      </c>
      <c r="AA55" s="13">
        <f>CUSTOS!$E$17</f>
        <v>0</v>
      </c>
      <c r="AB55" s="13">
        <f>CUSTOS!$E$18</f>
        <v>-142938.17947389829</v>
      </c>
      <c r="AC55" s="13">
        <f>CUSTOS!$E$19</f>
        <v>-2548674.1739379396</v>
      </c>
      <c r="AD55" s="13">
        <f>CUSTOS!$E$20</f>
        <v>-2548674.1739379396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-11659.138765059777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-11659.138765059777</v>
      </c>
      <c r="AM55" s="13">
        <f>CUSTOS!$E$29</f>
        <v>-2738845.3999919235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3">
      <c r="K56" s="16" t="s">
        <v>467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3">
      <c r="K57" s="16" t="s">
        <v>530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f>SUM($L$57:$S$57)</f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f>SUM($U$57:$AA$57)</f>
        <v>0</v>
      </c>
      <c r="AC57" s="13">
        <v>0</v>
      </c>
      <c r="AD57" s="13">
        <f>SUM($AC$57:$AC$57)</f>
        <v>0</v>
      </c>
      <c r="AE57" s="13">
        <v>0</v>
      </c>
      <c r="AF57" s="13">
        <v>0</v>
      </c>
      <c r="AG57" s="13">
        <f>SUM($AE$57:$AF$57)</f>
        <v>0</v>
      </c>
      <c r="AH57" s="13">
        <v>0</v>
      </c>
      <c r="AI57" s="13">
        <v>0</v>
      </c>
      <c r="AJ57" s="13">
        <v>0</v>
      </c>
      <c r="AK57" s="13">
        <v>0</v>
      </c>
      <c r="AL57" s="13">
        <f>SUM($AH$57:$AK$57)</f>
        <v>0</v>
      </c>
      <c r="AM57" s="13"/>
    </row>
    <row r="58" spans="1:42" ht="11.25" customHeight="1" x14ac:dyDescent="0.3">
      <c r="K58" s="16" t="s">
        <v>542</v>
      </c>
      <c r="L58" s="13">
        <f t="shared" ref="L58:R58" si="0">IF((L54-(0))&lt;&gt;0,(L56)/(L54-(0)),0)</f>
        <v>0</v>
      </c>
      <c r="M58" s="13">
        <f t="shared" si="0"/>
        <v>0</v>
      </c>
      <c r="N58" s="13">
        <f t="shared" si="0"/>
        <v>0</v>
      </c>
      <c r="O58" s="13">
        <f t="shared" si="0"/>
        <v>0</v>
      </c>
      <c r="P58" s="13">
        <f t="shared" si="0"/>
        <v>0</v>
      </c>
      <c r="Q58" s="13">
        <f t="shared" si="0"/>
        <v>0</v>
      </c>
      <c r="R58" s="13">
        <f t="shared" si="0"/>
        <v>0</v>
      </c>
      <c r="S58" s="13">
        <f>IF((R53-(0)&lt;&gt;0),(S55)/(R53-(0)),0)</f>
        <v>0</v>
      </c>
      <c r="T58" s="13"/>
      <c r="U58" s="13">
        <f t="shared" ref="U58:AA58" si="1">IF((U54-(0))&lt;&gt;0,(U56)/(U54-(0)),0)</f>
        <v>0</v>
      </c>
      <c r="V58" s="13">
        <f t="shared" si="1"/>
        <v>0</v>
      </c>
      <c r="W58" s="13">
        <f t="shared" si="1"/>
        <v>0</v>
      </c>
      <c r="X58" s="13">
        <f t="shared" si="1"/>
        <v>0</v>
      </c>
      <c r="Y58" s="13">
        <f t="shared" si="1"/>
        <v>0</v>
      </c>
      <c r="Z58" s="13">
        <f t="shared" si="1"/>
        <v>0</v>
      </c>
      <c r="AA58" s="13">
        <f t="shared" si="1"/>
        <v>0</v>
      </c>
      <c r="AB58" s="13"/>
      <c r="AC58" s="13">
        <f>IF((AC54-(0))&lt;&gt;0,(AC56)/(AC54-(0)),0)</f>
        <v>0</v>
      </c>
      <c r="AD58" s="13"/>
      <c r="AE58" s="13">
        <f ca="1">IF(($AM53-(0))&lt;&gt;0,(AE55)/($AM53-(0)),0)</f>
        <v>0</v>
      </c>
      <c r="AF58" s="13">
        <f ca="1">IF(($AM53-(0))&lt;&gt;0,(AF55)/($AM53-(0)),0)</f>
        <v>0</v>
      </c>
      <c r="AG58" s="13"/>
      <c r="AH58" s="13">
        <f>IF((AH54-(0))&lt;&gt;0,(AH56)/(AH54-(0)),0)</f>
        <v>0</v>
      </c>
      <c r="AI58" s="13">
        <f>IF((AI54-(0))&lt;&gt;0,(AI56)/(AI54-(0)),0)</f>
        <v>0</v>
      </c>
      <c r="AJ58" s="13">
        <f>IF((AJ54-(0))&lt;&gt;0,(AJ56)/(AJ54-(0)),0)</f>
        <v>0</v>
      </c>
      <c r="AK58" s="13">
        <f>IF((AK54-(0))&lt;&gt;0,(AK56)/(AK54-(0)),0)</f>
        <v>0</v>
      </c>
      <c r="AL58" s="13"/>
      <c r="AM58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802" priority="55" operator="notEqual">
      <formula>$L$55</formula>
    </cfRule>
    <cfRule type="cellIs" dxfId="801" priority="56" operator="equal">
      <formula>$L$55</formula>
    </cfRule>
  </conditionalFormatting>
  <conditionalFormatting sqref="M53">
    <cfRule type="cellIs" dxfId="800" priority="53" operator="notEqual">
      <formula>$M$55</formula>
    </cfRule>
    <cfRule type="cellIs" dxfId="799" priority="54" operator="equal">
      <formula>$M$55</formula>
    </cfRule>
  </conditionalFormatting>
  <conditionalFormatting sqref="N53">
    <cfRule type="cellIs" dxfId="798" priority="51" operator="notEqual">
      <formula>$N$55</formula>
    </cfRule>
    <cfRule type="cellIs" dxfId="797" priority="52" operator="equal">
      <formula>$N$55</formula>
    </cfRule>
  </conditionalFormatting>
  <conditionalFormatting sqref="O53">
    <cfRule type="cellIs" dxfId="796" priority="49" operator="notEqual">
      <formula>$O$55</formula>
    </cfRule>
    <cfRule type="cellIs" dxfId="795" priority="50" operator="equal">
      <formula>$O$55</formula>
    </cfRule>
  </conditionalFormatting>
  <conditionalFormatting sqref="P53">
    <cfRule type="cellIs" dxfId="794" priority="47" operator="notEqual">
      <formula>$P$55</formula>
    </cfRule>
    <cfRule type="cellIs" dxfId="793" priority="48" operator="equal">
      <formula>$P$55</formula>
    </cfRule>
  </conditionalFormatting>
  <conditionalFormatting sqref="Q53">
    <cfRule type="cellIs" dxfId="792" priority="45" operator="notEqual">
      <formula>$Q$55</formula>
    </cfRule>
    <cfRule type="cellIs" dxfId="791" priority="46" operator="equal">
      <formula>$Q$55</formula>
    </cfRule>
  </conditionalFormatting>
  <conditionalFormatting sqref="R53">
    <cfRule type="cellIs" dxfId="790" priority="43" operator="notEqual">
      <formula>$R$55</formula>
    </cfRule>
    <cfRule type="cellIs" dxfId="789" priority="44" operator="equal">
      <formula>$R$55</formula>
    </cfRule>
  </conditionalFormatting>
  <conditionalFormatting sqref="S53">
    <cfRule type="cellIs" dxfId="788" priority="41" operator="notEqual">
      <formula>$S$55</formula>
    </cfRule>
    <cfRule type="cellIs" dxfId="787" priority="42" operator="equal">
      <formula>$S$55</formula>
    </cfRule>
  </conditionalFormatting>
  <conditionalFormatting sqref="T53">
    <cfRule type="cellIs" dxfId="786" priority="39" operator="notEqual">
      <formula>$T$55</formula>
    </cfRule>
    <cfRule type="cellIs" dxfId="785" priority="40" operator="equal">
      <formula>$T$55</formula>
    </cfRule>
  </conditionalFormatting>
  <conditionalFormatting sqref="U53">
    <cfRule type="cellIs" dxfId="784" priority="37" operator="notEqual">
      <formula>$U$55</formula>
    </cfRule>
    <cfRule type="cellIs" dxfId="783" priority="38" operator="equal">
      <formula>$U$55</formula>
    </cfRule>
  </conditionalFormatting>
  <conditionalFormatting sqref="V53">
    <cfRule type="cellIs" dxfId="782" priority="35" operator="notEqual">
      <formula>$V$55</formula>
    </cfRule>
    <cfRule type="cellIs" dxfId="781" priority="36" operator="equal">
      <formula>$V$55</formula>
    </cfRule>
  </conditionalFormatting>
  <conditionalFormatting sqref="W53">
    <cfRule type="cellIs" dxfId="780" priority="33" operator="notEqual">
      <formula>$W$55</formula>
    </cfRule>
    <cfRule type="cellIs" dxfId="779" priority="34" operator="equal">
      <formula>$W$55</formula>
    </cfRule>
  </conditionalFormatting>
  <conditionalFormatting sqref="X53">
    <cfRule type="cellIs" dxfId="778" priority="31" operator="notEqual">
      <formula>$X$55</formula>
    </cfRule>
    <cfRule type="cellIs" dxfId="777" priority="32" operator="equal">
      <formula>$X$55</formula>
    </cfRule>
  </conditionalFormatting>
  <conditionalFormatting sqref="Y53">
    <cfRule type="cellIs" dxfId="776" priority="29" operator="notEqual">
      <formula>$Y$55</formula>
    </cfRule>
    <cfRule type="cellIs" dxfId="775" priority="30" operator="equal">
      <formula>$Y$55</formula>
    </cfRule>
  </conditionalFormatting>
  <conditionalFormatting sqref="Z53">
    <cfRule type="cellIs" dxfId="774" priority="27" operator="notEqual">
      <formula>$Z$55</formula>
    </cfRule>
    <cfRule type="cellIs" dxfId="773" priority="28" operator="equal">
      <formula>$Z$55</formula>
    </cfRule>
  </conditionalFormatting>
  <conditionalFormatting sqref="AA53">
    <cfRule type="cellIs" dxfId="772" priority="25" operator="notEqual">
      <formula>$AA$55</formula>
    </cfRule>
    <cfRule type="cellIs" dxfId="771" priority="26" operator="equal">
      <formula>$AA$55</formula>
    </cfRule>
  </conditionalFormatting>
  <conditionalFormatting sqref="AB53">
    <cfRule type="cellIs" dxfId="770" priority="23" operator="notEqual">
      <formula>$AB$55</formula>
    </cfRule>
    <cfRule type="cellIs" dxfId="769" priority="24" operator="equal">
      <formula>$AB$55</formula>
    </cfRule>
  </conditionalFormatting>
  <conditionalFormatting sqref="AC53">
    <cfRule type="cellIs" dxfId="768" priority="21" operator="notEqual">
      <formula>$AC$55</formula>
    </cfRule>
    <cfRule type="cellIs" dxfId="767" priority="22" operator="equal">
      <formula>$AC$55</formula>
    </cfRule>
  </conditionalFormatting>
  <conditionalFormatting sqref="AD53">
    <cfRule type="cellIs" dxfId="766" priority="19" operator="notEqual">
      <formula>$AD$55</formula>
    </cfRule>
    <cfRule type="cellIs" dxfId="765" priority="20" operator="equal">
      <formula>$AD$55</formula>
    </cfRule>
  </conditionalFormatting>
  <conditionalFormatting sqref="AE53">
    <cfRule type="cellIs" dxfId="764" priority="17" operator="notEqual">
      <formula>$AE$55</formula>
    </cfRule>
    <cfRule type="cellIs" dxfId="763" priority="18" operator="equal">
      <formula>$AE$55</formula>
    </cfRule>
  </conditionalFormatting>
  <conditionalFormatting sqref="AF53">
    <cfRule type="cellIs" dxfId="762" priority="16" operator="equal">
      <formula>$AF$55</formula>
    </cfRule>
  </conditionalFormatting>
  <conditionalFormatting sqref="AF53">
    <cfRule type="cellIs" dxfId="761" priority="15" operator="notEqual">
      <formula>$AF$55</formula>
    </cfRule>
  </conditionalFormatting>
  <conditionalFormatting sqref="AG53">
    <cfRule type="cellIs" dxfId="760" priority="14" operator="equal">
      <formula>$AG$55</formula>
    </cfRule>
  </conditionalFormatting>
  <conditionalFormatting sqref="AG53">
    <cfRule type="cellIs" dxfId="759" priority="13" operator="notEqual">
      <formula>$AG$55</formula>
    </cfRule>
  </conditionalFormatting>
  <conditionalFormatting sqref="AH53">
    <cfRule type="cellIs" dxfId="758" priority="12" operator="equal">
      <formula>$AH$55</formula>
    </cfRule>
  </conditionalFormatting>
  <conditionalFormatting sqref="AH53">
    <cfRule type="cellIs" dxfId="757" priority="11" operator="notEqual">
      <formula>$AH$55</formula>
    </cfRule>
  </conditionalFormatting>
  <conditionalFormatting sqref="AI53">
    <cfRule type="cellIs" dxfId="756" priority="10" operator="equal">
      <formula>$AI$55</formula>
    </cfRule>
  </conditionalFormatting>
  <conditionalFormatting sqref="AI53">
    <cfRule type="cellIs" dxfId="755" priority="9" operator="notEqual">
      <formula>$AI$55</formula>
    </cfRule>
  </conditionalFormatting>
  <conditionalFormatting sqref="AJ53">
    <cfRule type="cellIs" dxfId="754" priority="8" operator="equal">
      <formula>$AJ$55</formula>
    </cfRule>
  </conditionalFormatting>
  <conditionalFormatting sqref="AJ53">
    <cfRule type="cellIs" dxfId="753" priority="7" operator="notEqual">
      <formula>$AJ$55</formula>
    </cfRule>
  </conditionalFormatting>
  <conditionalFormatting sqref="AK53">
    <cfRule type="cellIs" dxfId="752" priority="6" operator="equal">
      <formula>$AK$55</formula>
    </cfRule>
  </conditionalFormatting>
  <conditionalFormatting sqref="AK53">
    <cfRule type="cellIs" dxfId="751" priority="5" operator="notEqual">
      <formula>$AK$55</formula>
    </cfRule>
  </conditionalFormatting>
  <conditionalFormatting sqref="AL53">
    <cfRule type="cellIs" dxfId="750" priority="4" operator="equal">
      <formula>$AL$55</formula>
    </cfRule>
  </conditionalFormatting>
  <conditionalFormatting sqref="AL53">
    <cfRule type="cellIs" dxfId="749" priority="3" operator="notEqual">
      <formula>$AL$55</formula>
    </cfRule>
  </conditionalFormatting>
  <conditionalFormatting sqref="AM53">
    <cfRule type="cellIs" dxfId="748" priority="2" operator="equal">
      <formula>$AM$55</formula>
    </cfRule>
  </conditionalFormatting>
  <conditionalFormatting sqref="AM53">
    <cfRule type="cellIs" dxfId="747" priority="1" operator="notEqual">
      <formula>$AM$55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536A9-6415-4E2E-947A-AE13B256C229}">
  <sheetPr codeName="Planilha11"/>
  <dimension ref="A1:AP57"/>
  <sheetViews>
    <sheetView showGridLines="0" topLeftCell="Z35" workbookViewId="0">
      <selection activeCell="AO53" sqref="AO53:AP55"/>
    </sheetView>
  </sheetViews>
  <sheetFormatPr defaultColWidth="9.109375" defaultRowHeight="11.25" customHeight="1" x14ac:dyDescent="0.3"/>
  <cols>
    <col min="1" max="1" width="9.33203125" style="9" bestFit="1" customWidth="1"/>
    <col min="2" max="2" width="21.55468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8.6640625" style="9" bestFit="1" customWidth="1"/>
    <col min="10" max="10" width="9.109375" style="9"/>
    <col min="11" max="11" width="14.33203125" style="9" bestFit="1" customWidth="1"/>
    <col min="12" max="12" width="13.44140625" style="9" bestFit="1" customWidth="1"/>
    <col min="13" max="13" width="7.88671875" style="9" bestFit="1" customWidth="1"/>
    <col min="14" max="14" width="4.109375" style="9" bestFit="1" customWidth="1"/>
    <col min="15" max="16" width="4.88671875" style="9" bestFit="1" customWidth="1"/>
    <col min="17" max="17" width="10" style="9" bestFit="1" customWidth="1"/>
    <col min="18" max="19" width="8.6640625" style="9" bestFit="1" customWidth="1"/>
    <col min="20" max="20" width="10" style="9" bestFit="1" customWidth="1"/>
    <col min="21" max="21" width="7.44140625" style="9" bestFit="1" customWidth="1"/>
    <col min="22" max="22" width="7.33203125" style="9" bestFit="1" customWidth="1"/>
    <col min="23" max="24" width="9.88671875" style="9" bestFit="1" customWidth="1"/>
    <col min="25" max="25" width="8.6640625" style="9" bestFit="1" customWidth="1"/>
    <col min="26" max="26" width="7.6640625" style="9" bestFit="1" customWidth="1"/>
    <col min="27" max="27" width="9.88671875" style="9" bestFit="1" customWidth="1"/>
    <col min="28" max="28" width="10" style="9" bestFit="1" customWidth="1"/>
    <col min="29" max="29" width="11.6640625" style="9" bestFit="1" customWidth="1"/>
    <col min="30" max="30" width="10.88671875" style="9" bestFit="1" customWidth="1"/>
    <col min="31" max="31" width="8" style="9" bestFit="1" customWidth="1"/>
    <col min="32" max="32" width="7.33203125" style="9" bestFit="1" customWidth="1"/>
    <col min="33" max="33" width="9.33203125" style="9" bestFit="1" customWidth="1"/>
    <col min="34" max="34" width="15.33203125" style="9" bestFit="1" customWidth="1"/>
    <col min="35" max="35" width="18" style="9" bestFit="1" customWidth="1"/>
    <col min="36" max="36" width="19.109375" style="9" bestFit="1" customWidth="1"/>
    <col min="37" max="37" width="4" style="9" bestFit="1" customWidth="1"/>
    <col min="38" max="38" width="9.33203125" style="9" bestFit="1" customWidth="1"/>
    <col min="39" max="39" width="10.88671875" style="9" bestFit="1" customWidth="1"/>
    <col min="40" max="40" width="9.109375" style="9"/>
    <col min="41" max="42" width="10.88671875" style="9" bestFit="1" customWidth="1"/>
    <col min="43" max="16384" width="9.109375" style="9"/>
  </cols>
  <sheetData>
    <row r="1" spans="1:42" ht="11.25" customHeight="1" x14ac:dyDescent="0.3">
      <c r="A1" s="88" t="s">
        <v>59</v>
      </c>
      <c r="B1" s="88" t="s">
        <v>60</v>
      </c>
      <c r="C1" s="88" t="s">
        <v>61</v>
      </c>
      <c r="D1" s="88" t="s">
        <v>62</v>
      </c>
      <c r="E1" s="88" t="s">
        <v>63</v>
      </c>
      <c r="F1" s="88" t="s">
        <v>15</v>
      </c>
      <c r="G1" s="88" t="s">
        <v>65</v>
      </c>
      <c r="H1" s="88" t="s">
        <v>66</v>
      </c>
      <c r="I1" s="88" t="s">
        <v>524</v>
      </c>
      <c r="J1" s="86"/>
      <c r="L1" s="89" t="s">
        <v>544</v>
      </c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O1" s="20"/>
      <c r="AP1" s="93" t="s">
        <v>526</v>
      </c>
    </row>
    <row r="2" spans="1:42" ht="11.25" customHeight="1" x14ac:dyDescent="0.3">
      <c r="A2" s="88"/>
      <c r="B2" s="88"/>
      <c r="C2" s="88"/>
      <c r="D2" s="88"/>
      <c r="E2" s="88"/>
      <c r="F2" s="88"/>
      <c r="G2" s="88"/>
      <c r="H2" s="88"/>
      <c r="I2" s="88"/>
      <c r="J2" s="86"/>
      <c r="L2" s="89" t="s">
        <v>423</v>
      </c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  <c r="AE2" s="89"/>
      <c r="AF2" s="89"/>
      <c r="AG2" s="89"/>
      <c r="AH2" s="89"/>
      <c r="AI2" s="89"/>
      <c r="AJ2" s="89"/>
      <c r="AK2" s="89"/>
      <c r="AL2" s="89"/>
      <c r="AM2" s="89"/>
      <c r="AO2" s="20"/>
      <c r="AP2" s="94"/>
    </row>
    <row r="3" spans="1:42" ht="11.25" customHeight="1" x14ac:dyDescent="0.3">
      <c r="A3" s="88"/>
      <c r="B3" s="88"/>
      <c r="C3" s="88"/>
      <c r="D3" s="88"/>
      <c r="E3" s="88"/>
      <c r="F3" s="88"/>
      <c r="G3" s="88"/>
      <c r="H3" s="88"/>
      <c r="I3" s="88"/>
      <c r="J3" s="86"/>
      <c r="L3" s="89" t="s">
        <v>424</v>
      </c>
      <c r="M3" s="89"/>
      <c r="N3" s="89"/>
      <c r="O3" s="89"/>
      <c r="P3" s="89"/>
      <c r="Q3" s="89"/>
      <c r="R3" s="89"/>
      <c r="S3" s="89"/>
      <c r="T3" s="89"/>
      <c r="U3" s="89" t="s">
        <v>433</v>
      </c>
      <c r="V3" s="89"/>
      <c r="W3" s="89"/>
      <c r="X3" s="89"/>
      <c r="Y3" s="89"/>
      <c r="Z3" s="89"/>
      <c r="AA3" s="89"/>
      <c r="AB3" s="89"/>
      <c r="AC3" s="89" t="s">
        <v>441</v>
      </c>
      <c r="AD3" s="89"/>
      <c r="AE3" s="89" t="s">
        <v>443</v>
      </c>
      <c r="AF3" s="89"/>
      <c r="AG3" s="89"/>
      <c r="AH3" s="89" t="s">
        <v>446</v>
      </c>
      <c r="AI3" s="89"/>
      <c r="AJ3" s="89"/>
      <c r="AK3" s="89"/>
      <c r="AL3" s="89"/>
      <c r="AM3" s="89" t="s">
        <v>432</v>
      </c>
      <c r="AO3" s="20"/>
      <c r="AP3" s="94"/>
    </row>
    <row r="4" spans="1:42" ht="11.25" customHeight="1" x14ac:dyDescent="0.3">
      <c r="A4" s="88"/>
      <c r="B4" s="88"/>
      <c r="C4" s="88"/>
      <c r="D4" s="88"/>
      <c r="E4" s="88"/>
      <c r="F4" s="88"/>
      <c r="G4" s="88"/>
      <c r="H4" s="88"/>
      <c r="I4" s="88"/>
      <c r="J4" s="86"/>
      <c r="L4" s="10" t="s">
        <v>509</v>
      </c>
      <c r="M4" s="10" t="s">
        <v>425</v>
      </c>
      <c r="N4" s="10" t="s">
        <v>426</v>
      </c>
      <c r="O4" s="10" t="s">
        <v>427</v>
      </c>
      <c r="P4" s="10" t="s">
        <v>428</v>
      </c>
      <c r="Q4" s="10" t="s">
        <v>429</v>
      </c>
      <c r="R4" s="10" t="s">
        <v>430</v>
      </c>
      <c r="S4" s="10" t="s">
        <v>431</v>
      </c>
      <c r="T4" s="10" t="s">
        <v>432</v>
      </c>
      <c r="U4" s="10" t="s">
        <v>434</v>
      </c>
      <c r="V4" s="10" t="s">
        <v>435</v>
      </c>
      <c r="W4" s="10" t="s">
        <v>436</v>
      </c>
      <c r="X4" s="10" t="s">
        <v>437</v>
      </c>
      <c r="Y4" s="10" t="s">
        <v>438</v>
      </c>
      <c r="Z4" s="10" t="s">
        <v>439</v>
      </c>
      <c r="AA4" s="10" t="s">
        <v>440</v>
      </c>
      <c r="AB4" s="10" t="s">
        <v>432</v>
      </c>
      <c r="AC4" s="10" t="s">
        <v>442</v>
      </c>
      <c r="AD4" s="10" t="s">
        <v>432</v>
      </c>
      <c r="AE4" s="10" t="s">
        <v>444</v>
      </c>
      <c r="AF4" s="10" t="s">
        <v>445</v>
      </c>
      <c r="AG4" s="10" t="s">
        <v>432</v>
      </c>
      <c r="AH4" s="10" t="s">
        <v>447</v>
      </c>
      <c r="AI4" s="10" t="s">
        <v>448</v>
      </c>
      <c r="AJ4" s="10" t="s">
        <v>449</v>
      </c>
      <c r="AK4" s="10" t="s">
        <v>450</v>
      </c>
      <c r="AL4" s="10" t="s">
        <v>432</v>
      </c>
      <c r="AM4" s="91"/>
      <c r="AO4" s="21" t="s">
        <v>543</v>
      </c>
      <c r="AP4" s="95"/>
    </row>
    <row r="5" spans="1:42" ht="11.25" customHeight="1" x14ac:dyDescent="0.3">
      <c r="A5" s="92" t="s">
        <v>35</v>
      </c>
      <c r="B5" s="92" t="s">
        <v>50</v>
      </c>
      <c r="C5" s="92" t="s">
        <v>25</v>
      </c>
      <c r="D5" s="92" t="s">
        <v>25</v>
      </c>
      <c r="E5" s="92" t="s">
        <v>25</v>
      </c>
      <c r="F5" s="92" t="s">
        <v>25</v>
      </c>
      <c r="G5" s="18" t="s">
        <v>73</v>
      </c>
      <c r="H5" s="18" t="s">
        <v>72</v>
      </c>
      <c r="I5" s="18">
        <f>'MERCADO TUSD'!$U$2</f>
        <v>201</v>
      </c>
      <c r="J5" s="15"/>
      <c r="L5" s="13">
        <f>'TUSD BE'!$L$5*'TUSD BF'!$L$58</f>
        <v>0</v>
      </c>
      <c r="M5" s="13">
        <f>'TUSD BE'!$M$5*'TUSD BF'!$M$58</f>
        <v>0</v>
      </c>
      <c r="N5" s="13">
        <f ca="1">'TUSD BE'!$N$5*'TUSD BF'!$N$58</f>
        <v>0</v>
      </c>
      <c r="O5" s="13">
        <f>'TUSD BE'!$O$5*'TUSD BF'!$O$58</f>
        <v>0</v>
      </c>
      <c r="P5" s="13">
        <f>'TUSD BE'!$P$5*'TUSD BF'!$P$58</f>
        <v>0</v>
      </c>
      <c r="Q5" s="13">
        <f>'TUSD BE'!$Q$5*'TUSD BF'!$Q$58</f>
        <v>0</v>
      </c>
      <c r="R5" s="13">
        <f>'TUSD BE'!$R$5*'TUSD BF'!$R$58</f>
        <v>0</v>
      </c>
      <c r="S5" s="13">
        <f>'TUSD BE'!$R$5*'TUSD BF'!$S$58</f>
        <v>0</v>
      </c>
      <c r="T5" s="13">
        <f ca="1">SUM($L$5:$S$5)</f>
        <v>0</v>
      </c>
      <c r="U5" s="13">
        <f>'TUSD BE'!$U$5*'TUSD BF'!$U$58</f>
        <v>0</v>
      </c>
      <c r="V5" s="13">
        <f>'TUSD BE'!$V$5*'TUSD BF'!$V$58</f>
        <v>0</v>
      </c>
      <c r="W5" s="13">
        <f>'TUSD BE'!$W$5*'TUSD BF'!$W$58</f>
        <v>0</v>
      </c>
      <c r="X5" s="13">
        <f>'TUSD BE'!$X$5*'TUSD BF'!$X$58</f>
        <v>0</v>
      </c>
      <c r="Y5" s="13">
        <f>'TUSD BE'!$Y$5*'TUSD BF'!$Y$58</f>
        <v>0</v>
      </c>
      <c r="Z5" s="13">
        <f>'TUSD BE'!$Z$5*'TUSD BF'!$Z$58</f>
        <v>0</v>
      </c>
      <c r="AA5" s="13">
        <f>'TUSD BE'!$AA$5*'TUSD BF'!$AA$58</f>
        <v>0</v>
      </c>
      <c r="AB5" s="13">
        <f>SUM($U$5:$AA$5)</f>
        <v>0</v>
      </c>
      <c r="AC5" s="13">
        <f>'TUSD BE'!$AC$5*'TUSD BF'!$AC$58</f>
        <v>0</v>
      </c>
      <c r="AD5" s="13">
        <f>SUM($AC$5:$AC$5)</f>
        <v>0</v>
      </c>
      <c r="AE5" s="13">
        <f ca="1">$AO$5*$AO$55</f>
        <v>0</v>
      </c>
      <c r="AF5" s="13">
        <f ca="1">$AP$5*$AP$55</f>
        <v>0</v>
      </c>
      <c r="AG5" s="13">
        <f ca="1">SUM($AE$5:$AF$5)</f>
        <v>0</v>
      </c>
      <c r="AH5" s="13">
        <f>'TUSD BE'!$AH$5*'TUSD BF'!$AH$58</f>
        <v>0</v>
      </c>
      <c r="AI5" s="13">
        <f>'TUSD BE'!$AI$5*'TUSD BF'!$AI$58</f>
        <v>0</v>
      </c>
      <c r="AJ5" s="13">
        <f ca="1">'TUSD BE'!$AJ$5*'TUSD BF'!$AJ$58</f>
        <v>0</v>
      </c>
      <c r="AK5" s="13">
        <f ca="1">'TUSD BE'!$AK$5*'TUSD BF'!$AK$58</f>
        <v>0</v>
      </c>
      <c r="AL5" s="13">
        <f ca="1">SUM($AH$5:$AK$5)</f>
        <v>0</v>
      </c>
      <c r="AM5" s="13">
        <f ca="1">SUMIF($L$4:$AL$4,"SUBTOTAL",$L$5:$AL$5)</f>
        <v>0</v>
      </c>
      <c r="AO5" s="20">
        <f ca="1">+'TUSD BE'!$T$5+'TUSD BE'!$AB$5+'TUSD BE'!$AD$5+'TUSD BE'!$AL$5</f>
        <v>137.11753993125291</v>
      </c>
      <c r="AP5" s="20">
        <f ca="1">+'TUSD BE'!$T$5+'TUSD BE'!$AB$5+'TUSD BE'!$AD$5+'TUSD BE'!$AL$5</f>
        <v>137.11753993125291</v>
      </c>
    </row>
    <row r="6" spans="1:42" ht="11.25" customHeight="1" x14ac:dyDescent="0.3">
      <c r="A6" s="92"/>
      <c r="B6" s="92"/>
      <c r="C6" s="92"/>
      <c r="D6" s="92"/>
      <c r="E6" s="92"/>
      <c r="F6" s="92"/>
      <c r="G6" s="18" t="s">
        <v>74</v>
      </c>
      <c r="H6" s="18" t="s">
        <v>72</v>
      </c>
      <c r="I6" s="18">
        <f>'MERCADO TUSD'!$U$3</f>
        <v>201</v>
      </c>
      <c r="J6" s="15"/>
      <c r="L6" s="13">
        <f>'TUSD BE'!$L$6*'TUSD BF'!$L$58</f>
        <v>0</v>
      </c>
      <c r="M6" s="13">
        <f>'TUSD BE'!$M$6*'TUSD BF'!$M$58</f>
        <v>0</v>
      </c>
      <c r="N6" s="13">
        <f ca="1">'TUSD BE'!$N$6*'TUSD BF'!$N$58</f>
        <v>0</v>
      </c>
      <c r="O6" s="13">
        <f>'TUSD BE'!$O$6*'TUSD BF'!$O$58</f>
        <v>0</v>
      </c>
      <c r="P6" s="13">
        <f>'TUSD BE'!$P$6*'TUSD BF'!$P$58</f>
        <v>0</v>
      </c>
      <c r="Q6" s="13">
        <f>'TUSD BE'!$Q$6*'TUSD BF'!$Q$58</f>
        <v>0</v>
      </c>
      <c r="R6" s="13">
        <f>'TUSD BE'!$R$6*'TUSD BF'!$R$58</f>
        <v>0</v>
      </c>
      <c r="S6" s="13">
        <f>'TUSD BE'!$R$6*'TUSD BF'!$S$58</f>
        <v>0</v>
      </c>
      <c r="T6" s="13">
        <f ca="1">SUM($L$6:$S$6)</f>
        <v>0</v>
      </c>
      <c r="U6" s="13">
        <f>'TUSD BE'!$U$6*'TUSD BF'!$U$58</f>
        <v>0</v>
      </c>
      <c r="V6" s="13">
        <f>'TUSD BE'!$V$6*'TUSD BF'!$V$58</f>
        <v>0</v>
      </c>
      <c r="W6" s="13">
        <f>'TUSD BE'!$W$6*'TUSD BF'!$W$58</f>
        <v>0</v>
      </c>
      <c r="X6" s="13">
        <f>'TUSD BE'!$X$6*'TUSD BF'!$X$58</f>
        <v>0</v>
      </c>
      <c r="Y6" s="13">
        <f>'TUSD BE'!$Y$6*'TUSD BF'!$Y$58</f>
        <v>0</v>
      </c>
      <c r="Z6" s="13">
        <f>'TUSD BE'!$Z$6*'TUSD BF'!$Z$58</f>
        <v>0</v>
      </c>
      <c r="AA6" s="13">
        <f>'TUSD BE'!$AA$6*'TUSD BF'!$AA$58</f>
        <v>0</v>
      </c>
      <c r="AB6" s="13">
        <f>SUM($U$6:$AA$6)</f>
        <v>0</v>
      </c>
      <c r="AC6" s="13">
        <f>'TUSD BE'!$AC$6*'TUSD BF'!$AC$58</f>
        <v>0</v>
      </c>
      <c r="AD6" s="13">
        <f>SUM($AC$6:$AC$6)</f>
        <v>0</v>
      </c>
      <c r="AE6" s="13">
        <f ca="1">$AO$6*$AO$55</f>
        <v>0</v>
      </c>
      <c r="AF6" s="13">
        <f ca="1">$AP$6*$AP$55</f>
        <v>0</v>
      </c>
      <c r="AG6" s="13">
        <f ca="1">SUM($AE$6:$AF$6)</f>
        <v>0</v>
      </c>
      <c r="AH6" s="13">
        <f>'TUSD BE'!$AH$6*'TUSD BF'!$AH$58</f>
        <v>0</v>
      </c>
      <c r="AI6" s="13">
        <f>'TUSD BE'!$AI$6*'TUSD BF'!$AI$58</f>
        <v>0</v>
      </c>
      <c r="AJ6" s="13">
        <f ca="1">'TUSD BE'!$AJ$6*'TUSD BF'!$AJ$58</f>
        <v>0</v>
      </c>
      <c r="AK6" s="13">
        <f ca="1">'TUSD BE'!$AK$6*'TUSD BF'!$AK$58</f>
        <v>0</v>
      </c>
      <c r="AL6" s="13">
        <f ca="1">SUM($AH$6:$AK$6)</f>
        <v>0</v>
      </c>
      <c r="AM6" s="13">
        <f ca="1">SUMIF($L$4:$AL$4,"SUBTOTAL",$L$6:$AL$6)</f>
        <v>0</v>
      </c>
      <c r="AO6" s="20">
        <f ca="1">+'TUSD BE'!$T$6+'TUSD BE'!$AB$6+'TUSD BE'!$AD$6+'TUSD BE'!$AL$6</f>
        <v>47.111477899721891</v>
      </c>
      <c r="AP6" s="20">
        <f ca="1">+'TUSD BE'!$T$6+'TUSD BE'!$AB$6+'TUSD BE'!$AD$6+'TUSD BE'!$AL$6</f>
        <v>47.111477899721891</v>
      </c>
    </row>
    <row r="7" spans="1:42" ht="11.25" customHeight="1" x14ac:dyDescent="0.3">
      <c r="A7" s="92"/>
      <c r="B7" s="92"/>
      <c r="C7" s="92"/>
      <c r="D7" s="92"/>
      <c r="E7" s="92"/>
      <c r="F7" s="92"/>
      <c r="G7" s="18" t="s">
        <v>75</v>
      </c>
      <c r="H7" s="18" t="s">
        <v>69</v>
      </c>
      <c r="I7" s="18">
        <f>'MERCADO TUSD'!$U$4</f>
        <v>89.552999999999997</v>
      </c>
      <c r="J7" s="15"/>
      <c r="L7" s="13">
        <f>'TUSD BE'!$L$7*'TUSD BF'!$L$58</f>
        <v>0</v>
      </c>
      <c r="M7" s="13">
        <f>'TUSD BE'!$M$7*'TUSD BF'!$M$58</f>
        <v>0</v>
      </c>
      <c r="N7" s="13">
        <f ca="1">'TUSD BE'!$N$7*'TUSD BF'!$N$58</f>
        <v>0</v>
      </c>
      <c r="O7" s="13">
        <f>'TUSD BE'!$O$7*'TUSD BF'!$O$58</f>
        <v>0</v>
      </c>
      <c r="P7" s="13">
        <f>'TUSD BE'!$P$7*'TUSD BF'!$P$58</f>
        <v>0</v>
      </c>
      <c r="Q7" s="13">
        <f>'TUSD BE'!$Q$7*'TUSD BF'!$Q$58</f>
        <v>0</v>
      </c>
      <c r="R7" s="13">
        <f>'TUSD BE'!$R$7*'TUSD BF'!$R$58</f>
        <v>0</v>
      </c>
      <c r="S7" s="13">
        <f>'TUSD BE'!$R$7*'TUSD BF'!$S$58</f>
        <v>0</v>
      </c>
      <c r="T7" s="13">
        <f ca="1">SUM($L$7:$S$7)</f>
        <v>0</v>
      </c>
      <c r="U7" s="13">
        <f>'TUSD BE'!$U$7*'TUSD BF'!$U$58</f>
        <v>0</v>
      </c>
      <c r="V7" s="13">
        <f>'TUSD BE'!$V$7*'TUSD BF'!$V$58</f>
        <v>0</v>
      </c>
      <c r="W7" s="13">
        <f>'TUSD BE'!$W$7*'TUSD BF'!$W$58</f>
        <v>0</v>
      </c>
      <c r="X7" s="13">
        <f>'TUSD BE'!$X$7*'TUSD BF'!$X$58</f>
        <v>0</v>
      </c>
      <c r="Y7" s="13">
        <f>'TUSD BE'!$Y$7*'TUSD BF'!$Y$58</f>
        <v>0</v>
      </c>
      <c r="Z7" s="13">
        <f>'TUSD BE'!$Z$7*'TUSD BF'!$Z$58</f>
        <v>0</v>
      </c>
      <c r="AA7" s="13">
        <f>'TUSD BE'!$AA$7*'TUSD BF'!$AA$58</f>
        <v>0</v>
      </c>
      <c r="AB7" s="13">
        <f>SUM($U$7:$AA$7)</f>
        <v>0</v>
      </c>
      <c r="AC7" s="13">
        <f>'TUSD BE'!$AC$7*'TUSD BF'!$AC$58</f>
        <v>0</v>
      </c>
      <c r="AD7" s="13">
        <f>SUM($AC$7:$AC$7)</f>
        <v>0</v>
      </c>
      <c r="AE7" s="13">
        <f ca="1">$AO$7*$AO$55</f>
        <v>0</v>
      </c>
      <c r="AF7" s="13">
        <f ca="1">$AP$7*$AP$55</f>
        <v>0</v>
      </c>
      <c r="AG7" s="13">
        <f ca="1">SUM($AE$7:$AF$7)</f>
        <v>0</v>
      </c>
      <c r="AH7" s="13">
        <f>'TUSD BE'!$AH$7*'TUSD BF'!$AH$58</f>
        <v>0</v>
      </c>
      <c r="AI7" s="13">
        <f>'TUSD BE'!$AI$7*'TUSD BF'!$AI$58</f>
        <v>0</v>
      </c>
      <c r="AJ7" s="13">
        <f ca="1">'TUSD BE'!$AJ$7*'TUSD BF'!$AJ$58</f>
        <v>0</v>
      </c>
      <c r="AK7" s="13">
        <f ca="1">'TUSD BE'!$AK$7*'TUSD BF'!$AK$58</f>
        <v>0</v>
      </c>
      <c r="AL7" s="13">
        <f ca="1">SUM($AH$7:$AK$7)</f>
        <v>0</v>
      </c>
      <c r="AM7" s="13">
        <f ca="1">SUMIF($L$4:$AL$4,"SUBTOTAL",$L$7:$AL$7)</f>
        <v>0</v>
      </c>
      <c r="AO7" s="20">
        <f ca="1">+'TUSD BE'!$T$7+'TUSD BE'!$AB$7+'TUSD BE'!$AD$7+'TUSD BE'!$AL$7</f>
        <v>102.02147228569699</v>
      </c>
      <c r="AP7" s="20">
        <f ca="1">+'TUSD BE'!$T$7+'TUSD BE'!$AB$7+'TUSD BE'!$AD$7+'TUSD BE'!$AL$7</f>
        <v>102.02147228569699</v>
      </c>
    </row>
    <row r="8" spans="1:42" ht="11.25" customHeight="1" x14ac:dyDescent="0.3">
      <c r="A8" s="92"/>
      <c r="B8" s="92"/>
      <c r="C8" s="92"/>
      <c r="D8" s="92"/>
      <c r="E8" s="17" t="s">
        <v>76</v>
      </c>
      <c r="F8" s="17" t="s">
        <v>25</v>
      </c>
      <c r="G8" s="18" t="s">
        <v>75</v>
      </c>
      <c r="H8" s="18" t="s">
        <v>69</v>
      </c>
      <c r="I8" s="18">
        <f>'MERCADO TUSD'!$U$5</f>
        <v>0</v>
      </c>
      <c r="J8" s="15"/>
      <c r="L8" s="13">
        <f>'TUSD BE'!$L$8*'TUSD BF'!$L$58</f>
        <v>0</v>
      </c>
      <c r="M8" s="13">
        <f>'TUSD BE'!$M$8*'TUSD BF'!$M$58</f>
        <v>0</v>
      </c>
      <c r="N8" s="13">
        <f ca="1">'TUSD BE'!$N$8*'TUSD BF'!$N$58</f>
        <v>0</v>
      </c>
      <c r="O8" s="13">
        <f>'TUSD BE'!$O$8*'TUSD BF'!$O$58</f>
        <v>0</v>
      </c>
      <c r="P8" s="13">
        <f>'TUSD BE'!$P$8*'TUSD BF'!$P$58</f>
        <v>0</v>
      </c>
      <c r="Q8" s="13">
        <f>'TUSD BE'!$Q$8*'TUSD BF'!$Q$58</f>
        <v>0</v>
      </c>
      <c r="R8" s="13">
        <f>'TUSD BE'!$R$8*'TUSD BF'!$R$58</f>
        <v>0</v>
      </c>
      <c r="S8" s="13">
        <f>'TUSD BE'!$R$8*'TUSD BF'!$S$58</f>
        <v>0</v>
      </c>
      <c r="T8" s="13">
        <f ca="1">SUM($L$8:$S$8)</f>
        <v>0</v>
      </c>
      <c r="U8" s="13">
        <f>'TUSD BE'!$U$8*'TUSD BF'!$U$58</f>
        <v>0</v>
      </c>
      <c r="V8" s="13">
        <f>'TUSD BE'!$V$8*'TUSD BF'!$V$58</f>
        <v>0</v>
      </c>
      <c r="W8" s="13">
        <f>'TUSD BE'!$W$8*'TUSD BF'!$W$58</f>
        <v>0</v>
      </c>
      <c r="X8" s="13">
        <f>'TUSD BE'!$X$8*'TUSD BF'!$X$58</f>
        <v>0</v>
      </c>
      <c r="Y8" s="13">
        <f>'TUSD BE'!$Y$8*'TUSD BF'!$Y$58</f>
        <v>0</v>
      </c>
      <c r="Z8" s="13">
        <f>'TUSD BE'!$Z$8*'TUSD BF'!$Z$58</f>
        <v>0</v>
      </c>
      <c r="AA8" s="13">
        <f>'TUSD BE'!$AA$8*'TUSD BF'!$AA$58</f>
        <v>0</v>
      </c>
      <c r="AB8" s="13">
        <f>SUM($U$8:$AA$8)</f>
        <v>0</v>
      </c>
      <c r="AC8" s="13">
        <f>'TUSD BE'!$AC$8*'TUSD BF'!$AC$58</f>
        <v>0</v>
      </c>
      <c r="AD8" s="13">
        <f>SUM($AC$8:$AC$8)</f>
        <v>0</v>
      </c>
      <c r="AE8" s="13">
        <f ca="1">$AO$8*$AO$55</f>
        <v>0</v>
      </c>
      <c r="AF8" s="13">
        <f ca="1">$AP$8*$AP$55</f>
        <v>0</v>
      </c>
      <c r="AG8" s="13">
        <f ca="1">SUM($AE$8:$AF$8)</f>
        <v>0</v>
      </c>
      <c r="AH8" s="13">
        <f>'TUSD BE'!$AH$8*'TUSD BF'!$AH$58</f>
        <v>0</v>
      </c>
      <c r="AI8" s="13">
        <f>'TUSD BE'!$AI$8*'TUSD BF'!$AI$58</f>
        <v>0</v>
      </c>
      <c r="AJ8" s="13">
        <f ca="1">'TUSD BE'!$AJ$8*'TUSD BF'!$AJ$58</f>
        <v>0</v>
      </c>
      <c r="AK8" s="13">
        <f ca="1">'TUSD BE'!$AK$8*'TUSD BF'!$AK$58</f>
        <v>0</v>
      </c>
      <c r="AL8" s="13">
        <f ca="1">SUM($AH$8:$AK$8)</f>
        <v>0</v>
      </c>
      <c r="AM8" s="13">
        <f ca="1">SUMIF($L$4:$AL$4,"SUBTOTAL",$L$8:$AL$8)</f>
        <v>0</v>
      </c>
      <c r="AO8" s="20">
        <f ca="1">+'TUSD BE'!$T$8+'TUSD BE'!$AB$8+'TUSD BE'!$AD$8+'TUSD BE'!$AL$8</f>
        <v>11.817879498866676</v>
      </c>
      <c r="AP8" s="20">
        <f ca="1">+'TUSD BE'!$T$8+'TUSD BE'!$AB$8+'TUSD BE'!$AD$8+'TUSD BE'!$AL$8</f>
        <v>11.817879498866676</v>
      </c>
    </row>
    <row r="9" spans="1:42" ht="11.25" customHeight="1" x14ac:dyDescent="0.3">
      <c r="A9" s="92"/>
      <c r="B9" s="17" t="s">
        <v>77</v>
      </c>
      <c r="C9" s="17" t="s">
        <v>25</v>
      </c>
      <c r="D9" s="17" t="s">
        <v>25</v>
      </c>
      <c r="E9" s="17" t="s">
        <v>25</v>
      </c>
      <c r="F9" s="17" t="s">
        <v>25</v>
      </c>
      <c r="G9" s="18" t="s">
        <v>9</v>
      </c>
      <c r="H9" s="18" t="s">
        <v>72</v>
      </c>
      <c r="I9" s="18">
        <f>'MERCADO TUSD'!$U$6</f>
        <v>0</v>
      </c>
      <c r="J9" s="15"/>
      <c r="L9" s="13">
        <f>'TUSD BE'!$L$9*'TUSD BF'!$L$58</f>
        <v>0</v>
      </c>
      <c r="M9" s="13">
        <f>'TUSD BE'!$M$9*'TUSD BF'!$M$58</f>
        <v>0</v>
      </c>
      <c r="N9" s="13">
        <f ca="1">'TUSD BE'!$N$9*'TUSD BF'!$N$58</f>
        <v>0</v>
      </c>
      <c r="O9" s="13">
        <f>'TUSD BE'!$O$9*'TUSD BF'!$O$58</f>
        <v>0</v>
      </c>
      <c r="P9" s="13">
        <f>'TUSD BE'!$P$9*'TUSD BF'!$P$58</f>
        <v>0</v>
      </c>
      <c r="Q9" s="13">
        <f>'TUSD BE'!$Q$9*'TUSD BF'!$Q$58</f>
        <v>0</v>
      </c>
      <c r="R9" s="13">
        <f>'TUSD BE'!$R$9*'TUSD BF'!$R$58</f>
        <v>0</v>
      </c>
      <c r="S9" s="13">
        <f>'TUSD BE'!$R$9*'TUSD BF'!$S$58</f>
        <v>0</v>
      </c>
      <c r="T9" s="13">
        <f ca="1">SUM($L$9:$S$9)</f>
        <v>0</v>
      </c>
      <c r="U9" s="13">
        <f>'TUSD BE'!$U$9*'TUSD BF'!$U$58</f>
        <v>0</v>
      </c>
      <c r="V9" s="13">
        <f>'TUSD BE'!$V$9*'TUSD BF'!$V$58</f>
        <v>0</v>
      </c>
      <c r="W9" s="13">
        <f>'TUSD BE'!$W$9*'TUSD BF'!$W$58</f>
        <v>0</v>
      </c>
      <c r="X9" s="13">
        <f>'TUSD BE'!$X$9*'TUSD BF'!$X$58</f>
        <v>0</v>
      </c>
      <c r="Y9" s="13">
        <f>'TUSD BE'!$Y$9*'TUSD BF'!$Y$58</f>
        <v>0</v>
      </c>
      <c r="Z9" s="13">
        <f>'TUSD BE'!$Z$9*'TUSD BF'!$Z$58</f>
        <v>0</v>
      </c>
      <c r="AA9" s="13">
        <f>'TUSD BE'!$AA$9*'TUSD BF'!$AA$58</f>
        <v>0</v>
      </c>
      <c r="AB9" s="13">
        <f>SUM($U$9:$AA$9)</f>
        <v>0</v>
      </c>
      <c r="AC9" s="13">
        <f>'TUSD BE'!$AC$9*'TUSD BF'!$AC$58</f>
        <v>0</v>
      </c>
      <c r="AD9" s="13">
        <f>SUM($AC$9:$AC$9)</f>
        <v>0</v>
      </c>
      <c r="AE9" s="13">
        <f ca="1">$AO$9*$AO$55</f>
        <v>0</v>
      </c>
      <c r="AF9" s="13">
        <f ca="1">$AP$9*$AP$55</f>
        <v>0</v>
      </c>
      <c r="AG9" s="13">
        <f ca="1">SUM($AE$9:$AF$9)</f>
        <v>0</v>
      </c>
      <c r="AH9" s="13">
        <f>'TUSD BE'!$AH$9*'TUSD BF'!$AH$58</f>
        <v>0</v>
      </c>
      <c r="AI9" s="13">
        <f>'TUSD BE'!$AI$9*'TUSD BF'!$AI$58</f>
        <v>0</v>
      </c>
      <c r="AJ9" s="13">
        <f ca="1">'TUSD BE'!$AJ$9*'TUSD BF'!$AJ$58</f>
        <v>0</v>
      </c>
      <c r="AK9" s="13">
        <f ca="1">'TUSD BE'!$AK$9*'TUSD BF'!$AK$58</f>
        <v>0</v>
      </c>
      <c r="AL9" s="13">
        <f ca="1">SUM($AH$9:$AK$9)</f>
        <v>0</v>
      </c>
      <c r="AM9" s="13">
        <f ca="1">SUMIF($L$4:$AL$4,"SUBTOTAL",$L$9:$AL$9)</f>
        <v>0</v>
      </c>
      <c r="AO9" s="20">
        <f ca="1">+'TUSD BE'!$T$9+'TUSD BE'!$AB$9+'TUSD BE'!$AD$9+'TUSD BE'!$AL$9</f>
        <v>16.127736311118326</v>
      </c>
      <c r="AP9" s="20">
        <f ca="1">+'TUSD BE'!$T$9+'TUSD BE'!$AB$9+'TUSD BE'!$AD$9+'TUSD BE'!$AL$9</f>
        <v>16.127736311118326</v>
      </c>
    </row>
    <row r="10" spans="1:42" ht="11.25" customHeight="1" x14ac:dyDescent="0.3">
      <c r="A10" s="92"/>
      <c r="B10" s="92" t="s">
        <v>36</v>
      </c>
      <c r="C10" s="92" t="s">
        <v>25</v>
      </c>
      <c r="D10" s="92" t="s">
        <v>25</v>
      </c>
      <c r="E10" s="92" t="s">
        <v>25</v>
      </c>
      <c r="F10" s="92" t="s">
        <v>25</v>
      </c>
      <c r="G10" s="18" t="s">
        <v>9</v>
      </c>
      <c r="H10" s="18" t="s">
        <v>72</v>
      </c>
      <c r="I10" s="18">
        <f>'MERCADO TUSD'!$U$7</f>
        <v>129328</v>
      </c>
      <c r="J10" s="15"/>
      <c r="L10" s="13">
        <f>'TUSD BE'!$L$10*'TUSD BF'!$L$58</f>
        <v>0</v>
      </c>
      <c r="M10" s="13">
        <f>'TUSD BE'!$M$10*'TUSD BF'!$M$58</f>
        <v>0</v>
      </c>
      <c r="N10" s="13">
        <f ca="1">'TUSD BE'!$N$10*'TUSD BF'!$N$58</f>
        <v>0</v>
      </c>
      <c r="O10" s="13">
        <f>'TUSD BE'!$O$10*'TUSD BF'!$O$58</f>
        <v>0</v>
      </c>
      <c r="P10" s="13">
        <f>'TUSD BE'!$P$10*'TUSD BF'!$P$58</f>
        <v>0</v>
      </c>
      <c r="Q10" s="13">
        <f>'TUSD BE'!$Q$10*'TUSD BF'!$Q$58</f>
        <v>0</v>
      </c>
      <c r="R10" s="13">
        <f>'TUSD BE'!$R$10*'TUSD BF'!$R$58</f>
        <v>0</v>
      </c>
      <c r="S10" s="13">
        <f>'TUSD BE'!$R$10*'TUSD BF'!$S$58</f>
        <v>0</v>
      </c>
      <c r="T10" s="13">
        <f ca="1">SUM($L$10:$S$10)</f>
        <v>0</v>
      </c>
      <c r="U10" s="13">
        <f>'TUSD BE'!$U$10*'TUSD BF'!$U$58</f>
        <v>0</v>
      </c>
      <c r="V10" s="13">
        <f>'TUSD BE'!$V$10*'TUSD BF'!$V$58</f>
        <v>0</v>
      </c>
      <c r="W10" s="13">
        <f>'TUSD BE'!$W$10*'TUSD BF'!$W$58</f>
        <v>0</v>
      </c>
      <c r="X10" s="13">
        <f>'TUSD BE'!$X$10*'TUSD BF'!$X$58</f>
        <v>0</v>
      </c>
      <c r="Y10" s="13">
        <f>'TUSD BE'!$Y$10*'TUSD BF'!$Y$58</f>
        <v>0</v>
      </c>
      <c r="Z10" s="13">
        <f>'TUSD BE'!$Z$10*'TUSD BF'!$Z$58</f>
        <v>0</v>
      </c>
      <c r="AA10" s="13">
        <f>'TUSD BE'!$AA$10*'TUSD BF'!$AA$58</f>
        <v>0</v>
      </c>
      <c r="AB10" s="13">
        <f>SUM($U$10:$AA$10)</f>
        <v>0</v>
      </c>
      <c r="AC10" s="13">
        <f>'TUSD BE'!$AC$10*'TUSD BF'!$AC$58</f>
        <v>0</v>
      </c>
      <c r="AD10" s="13">
        <f>SUM($AC$10:$AC$10)</f>
        <v>0</v>
      </c>
      <c r="AE10" s="13">
        <f ca="1">$AO$10*$AO$55</f>
        <v>0</v>
      </c>
      <c r="AF10" s="13">
        <f ca="1">$AP$10*$AP$55</f>
        <v>0</v>
      </c>
      <c r="AG10" s="13">
        <f ca="1">SUM($AE$10:$AF$10)</f>
        <v>0</v>
      </c>
      <c r="AH10" s="13">
        <f>'TUSD BE'!$AH$10*'TUSD BF'!$AH$58</f>
        <v>0</v>
      </c>
      <c r="AI10" s="13">
        <f>'TUSD BE'!$AI$10*'TUSD BF'!$AI$58</f>
        <v>0</v>
      </c>
      <c r="AJ10" s="13">
        <f ca="1">'TUSD BE'!$AJ$10*'TUSD BF'!$AJ$58</f>
        <v>0</v>
      </c>
      <c r="AK10" s="13">
        <f ca="1">'TUSD BE'!$AK$10*'TUSD BF'!$AK$58</f>
        <v>0</v>
      </c>
      <c r="AL10" s="13">
        <f ca="1">SUM($AH$10:$AK$10)</f>
        <v>0</v>
      </c>
      <c r="AM10" s="13">
        <f ca="1">SUMIF($L$4:$AL$4,"SUBTOTAL",$L$10:$AL$10)</f>
        <v>0</v>
      </c>
      <c r="AO10" s="20">
        <f ca="1">+'TUSD BE'!$T$10+'TUSD BE'!$AB$10+'TUSD BE'!$AD$10+'TUSD BE'!$AL$10</f>
        <v>47.111477899721891</v>
      </c>
      <c r="AP10" s="20">
        <f ca="1">+'TUSD BE'!$T$10+'TUSD BE'!$AB$10+'TUSD BE'!$AD$10+'TUSD BE'!$AL$10</f>
        <v>47.111477899721891</v>
      </c>
    </row>
    <row r="11" spans="1:42" ht="11.25" customHeight="1" x14ac:dyDescent="0.3">
      <c r="A11" s="92"/>
      <c r="B11" s="92"/>
      <c r="C11" s="92"/>
      <c r="D11" s="92"/>
      <c r="E11" s="92"/>
      <c r="F11" s="92"/>
      <c r="G11" s="18" t="s">
        <v>70</v>
      </c>
      <c r="H11" s="18" t="s">
        <v>69</v>
      </c>
      <c r="I11" s="18">
        <f>'MERCADO TUSD'!$U$8</f>
        <v>1239.3609999999999</v>
      </c>
      <c r="J11" s="15"/>
      <c r="L11" s="13">
        <f>'TUSD BE'!$L$11*'TUSD BF'!$L$58</f>
        <v>0</v>
      </c>
      <c r="M11" s="13">
        <f>'TUSD BE'!$M$11*'TUSD BF'!$M$58</f>
        <v>0</v>
      </c>
      <c r="N11" s="13">
        <f ca="1">'TUSD BE'!$N$11*'TUSD BF'!$N$58</f>
        <v>0</v>
      </c>
      <c r="O11" s="13">
        <f>'TUSD BE'!$O$11*'TUSD BF'!$O$58</f>
        <v>0</v>
      </c>
      <c r="P11" s="13">
        <f>'TUSD BE'!$P$11*'TUSD BF'!$P$58</f>
        <v>0</v>
      </c>
      <c r="Q11" s="13">
        <f>'TUSD BE'!$Q$11*'TUSD BF'!$Q$58</f>
        <v>0</v>
      </c>
      <c r="R11" s="13">
        <f>'TUSD BE'!$R$11*'TUSD BF'!$R$58</f>
        <v>0</v>
      </c>
      <c r="S11" s="13">
        <f>'TUSD BE'!$R$11*'TUSD BF'!$S$58</f>
        <v>0</v>
      </c>
      <c r="T11" s="13">
        <f ca="1">SUM($L$11:$S$11)</f>
        <v>0</v>
      </c>
      <c r="U11" s="13">
        <f>'TUSD BE'!$U$11*'TUSD BF'!$U$58</f>
        <v>0</v>
      </c>
      <c r="V11" s="13">
        <f>'TUSD BE'!$V$11*'TUSD BF'!$V$58</f>
        <v>0</v>
      </c>
      <c r="W11" s="13">
        <f>'TUSD BE'!$W$11*'TUSD BF'!$W$58</f>
        <v>0</v>
      </c>
      <c r="X11" s="13">
        <f>'TUSD BE'!$X$11*'TUSD BF'!$X$58</f>
        <v>0</v>
      </c>
      <c r="Y11" s="13">
        <f>'TUSD BE'!$Y$11*'TUSD BF'!$Y$58</f>
        <v>0</v>
      </c>
      <c r="Z11" s="13">
        <f>'TUSD BE'!$Z$11*'TUSD BF'!$Z$58</f>
        <v>0</v>
      </c>
      <c r="AA11" s="13">
        <f>'TUSD BE'!$AA$11*'TUSD BF'!$AA$58</f>
        <v>0</v>
      </c>
      <c r="AB11" s="13">
        <f>SUM($U$11:$AA$11)</f>
        <v>0</v>
      </c>
      <c r="AC11" s="13">
        <f>'TUSD BE'!$AC$11*'TUSD BF'!$AC$58</f>
        <v>0</v>
      </c>
      <c r="AD11" s="13">
        <f>SUM($AC$11:$AC$11)</f>
        <v>0</v>
      </c>
      <c r="AE11" s="13">
        <f ca="1">$AO$11*$AO$55</f>
        <v>0</v>
      </c>
      <c r="AF11" s="13">
        <f ca="1">$AP$11*$AP$55</f>
        <v>0</v>
      </c>
      <c r="AG11" s="13">
        <f ca="1">SUM($AE$11:$AF$11)</f>
        <v>0</v>
      </c>
      <c r="AH11" s="13">
        <f>'TUSD BE'!$AH$11*'TUSD BF'!$AH$58</f>
        <v>0</v>
      </c>
      <c r="AI11" s="13">
        <f>'TUSD BE'!$AI$11*'TUSD BF'!$AI$58</f>
        <v>0</v>
      </c>
      <c r="AJ11" s="13">
        <f ca="1">'TUSD BE'!$AJ$11*'TUSD BF'!$AJ$58</f>
        <v>0</v>
      </c>
      <c r="AK11" s="13">
        <f ca="1">'TUSD BE'!$AK$11*'TUSD BF'!$AK$58</f>
        <v>0</v>
      </c>
      <c r="AL11" s="13">
        <f ca="1">SUM($AH$11:$AK$11)</f>
        <v>0</v>
      </c>
      <c r="AM11" s="13">
        <f ca="1">SUMIF($L$4:$AL$4,"SUBTOTAL",$L$11:$AL$11)</f>
        <v>0</v>
      </c>
      <c r="AO11" s="20">
        <f ca="1">+'TUSD BE'!$T$11+'TUSD BE'!$AB$11+'TUSD BE'!$AD$11+'TUSD BE'!$AL$11</f>
        <v>3400.4190806408828</v>
      </c>
      <c r="AP11" s="20">
        <f ca="1">+'TUSD BE'!$T$11+'TUSD BE'!$AB$11+'TUSD BE'!$AD$11+'TUSD BE'!$AL$11</f>
        <v>3400.4190806408828</v>
      </c>
    </row>
    <row r="12" spans="1:42" ht="11.25" customHeight="1" x14ac:dyDescent="0.3">
      <c r="A12" s="92"/>
      <c r="B12" s="92"/>
      <c r="C12" s="92"/>
      <c r="D12" s="92"/>
      <c r="E12" s="92"/>
      <c r="F12" s="92"/>
      <c r="G12" s="18" t="s">
        <v>71</v>
      </c>
      <c r="H12" s="18" t="s">
        <v>69</v>
      </c>
      <c r="I12" s="18">
        <f>'MERCADO TUSD'!$U$9</f>
        <v>28573.93</v>
      </c>
      <c r="J12" s="15"/>
      <c r="L12" s="13">
        <f>'TUSD BE'!$L$12*'TUSD BF'!$L$58</f>
        <v>0</v>
      </c>
      <c r="M12" s="13">
        <f>'TUSD BE'!$M$12*'TUSD BF'!$M$58</f>
        <v>0</v>
      </c>
      <c r="N12" s="13">
        <f ca="1">'TUSD BE'!$N$12*'TUSD BF'!$N$58</f>
        <v>0</v>
      </c>
      <c r="O12" s="13">
        <f>'TUSD BE'!$O$12*'TUSD BF'!$O$58</f>
        <v>0</v>
      </c>
      <c r="P12" s="13">
        <f>'TUSD BE'!$P$12*'TUSD BF'!$P$58</f>
        <v>0</v>
      </c>
      <c r="Q12" s="13">
        <f>'TUSD BE'!$Q$12*'TUSD BF'!$Q$58</f>
        <v>0</v>
      </c>
      <c r="R12" s="13">
        <f>'TUSD BE'!$R$12*'TUSD BF'!$R$58</f>
        <v>0</v>
      </c>
      <c r="S12" s="13">
        <f>'TUSD BE'!$R$12*'TUSD BF'!$S$58</f>
        <v>0</v>
      </c>
      <c r="T12" s="13">
        <f ca="1">SUM($L$12:$S$12)</f>
        <v>0</v>
      </c>
      <c r="U12" s="13">
        <f>'TUSD BE'!$U$12*'TUSD BF'!$U$58</f>
        <v>0</v>
      </c>
      <c r="V12" s="13">
        <f>'TUSD BE'!$V$12*'TUSD BF'!$V$58</f>
        <v>0</v>
      </c>
      <c r="W12" s="13">
        <f>'TUSD BE'!$W$12*'TUSD BF'!$W$58</f>
        <v>0</v>
      </c>
      <c r="X12" s="13">
        <f>'TUSD BE'!$X$12*'TUSD BF'!$X$58</f>
        <v>0</v>
      </c>
      <c r="Y12" s="13">
        <f>'TUSD BE'!$Y$12*'TUSD BF'!$Y$58</f>
        <v>0</v>
      </c>
      <c r="Z12" s="13">
        <f>'TUSD BE'!$Z$12*'TUSD BF'!$Z$58</f>
        <v>0</v>
      </c>
      <c r="AA12" s="13">
        <f>'TUSD BE'!$AA$12*'TUSD BF'!$AA$58</f>
        <v>0</v>
      </c>
      <c r="AB12" s="13">
        <f>SUM($U$12:$AA$12)</f>
        <v>0</v>
      </c>
      <c r="AC12" s="13">
        <f>'TUSD BE'!$AC$12*'TUSD BF'!$AC$58</f>
        <v>0</v>
      </c>
      <c r="AD12" s="13">
        <f>SUM($AC$12:$AC$12)</f>
        <v>0</v>
      </c>
      <c r="AE12" s="13">
        <f ca="1">$AO$12*$AO$55</f>
        <v>0</v>
      </c>
      <c r="AF12" s="13">
        <f ca="1">$AP$12*$AP$55</f>
        <v>0</v>
      </c>
      <c r="AG12" s="13">
        <f ca="1">SUM($AE$12:$AF$12)</f>
        <v>0</v>
      </c>
      <c r="AH12" s="13">
        <f>'TUSD BE'!$AH$12*'TUSD BF'!$AH$58</f>
        <v>0</v>
      </c>
      <c r="AI12" s="13">
        <f>'TUSD BE'!$AI$12*'TUSD BF'!$AI$58</f>
        <v>0</v>
      </c>
      <c r="AJ12" s="13">
        <f ca="1">'TUSD BE'!$AJ$12*'TUSD BF'!$AJ$58</f>
        <v>0</v>
      </c>
      <c r="AK12" s="13">
        <f ca="1">'TUSD BE'!$AK$12*'TUSD BF'!$AK$58</f>
        <v>0</v>
      </c>
      <c r="AL12" s="13">
        <f ca="1">SUM($AH$12:$AK$12)</f>
        <v>0</v>
      </c>
      <c r="AM12" s="13">
        <f ca="1">SUMIF($L$4:$AL$4,"SUBTOTAL",$L$12:$AL$12)</f>
        <v>0</v>
      </c>
      <c r="AO12" s="20">
        <f ca="1">+'TUSD BE'!$T$12+'TUSD BE'!$AB$12+'TUSD BE'!$AD$12+'TUSD BE'!$AL$12</f>
        <v>102.02147228569699</v>
      </c>
      <c r="AP12" s="20">
        <f ca="1">+'TUSD BE'!$T$12+'TUSD BE'!$AB$12+'TUSD BE'!$AD$12+'TUSD BE'!$AL$12</f>
        <v>102.02147228569699</v>
      </c>
    </row>
    <row r="13" spans="1:42" ht="11.25" customHeight="1" x14ac:dyDescent="0.3">
      <c r="A13" s="92"/>
      <c r="B13" s="92"/>
      <c r="C13" s="92"/>
      <c r="D13" s="92"/>
      <c r="E13" s="92" t="s">
        <v>76</v>
      </c>
      <c r="F13" s="92" t="s">
        <v>25</v>
      </c>
      <c r="G13" s="18" t="s">
        <v>70</v>
      </c>
      <c r="H13" s="18" t="s">
        <v>69</v>
      </c>
      <c r="I13" s="18">
        <f>'MERCADO TUSD'!$U$10</f>
        <v>0</v>
      </c>
      <c r="J13" s="15"/>
      <c r="L13" s="13">
        <f>'TUSD BE'!$L$13*'TUSD BF'!$L$58</f>
        <v>0</v>
      </c>
      <c r="M13" s="13">
        <f>'TUSD BE'!$M$13*'TUSD BF'!$M$58</f>
        <v>0</v>
      </c>
      <c r="N13" s="13">
        <f ca="1">'TUSD BE'!$N$13*'TUSD BF'!$N$58</f>
        <v>0</v>
      </c>
      <c r="O13" s="13">
        <f>'TUSD BE'!$O$13*'TUSD BF'!$O$58</f>
        <v>0</v>
      </c>
      <c r="P13" s="13">
        <f>'TUSD BE'!$P$13*'TUSD BF'!$P$58</f>
        <v>0</v>
      </c>
      <c r="Q13" s="13">
        <f>'TUSD BE'!$Q$13*'TUSD BF'!$Q$58</f>
        <v>0</v>
      </c>
      <c r="R13" s="13">
        <f>'TUSD BE'!$R$13*'TUSD BF'!$R$58</f>
        <v>0</v>
      </c>
      <c r="S13" s="13">
        <f>'TUSD BE'!$R$13*'TUSD BF'!$S$58</f>
        <v>0</v>
      </c>
      <c r="T13" s="13">
        <f ca="1">SUM($L$13:$S$13)</f>
        <v>0</v>
      </c>
      <c r="U13" s="13">
        <f>'TUSD BE'!$U$13*'TUSD BF'!$U$58</f>
        <v>0</v>
      </c>
      <c r="V13" s="13">
        <f>'TUSD BE'!$V$13*'TUSD BF'!$V$58</f>
        <v>0</v>
      </c>
      <c r="W13" s="13">
        <f>'TUSD BE'!$W$13*'TUSD BF'!$W$58</f>
        <v>0</v>
      </c>
      <c r="X13" s="13">
        <f>'TUSD BE'!$X$13*'TUSD BF'!$X$58</f>
        <v>0</v>
      </c>
      <c r="Y13" s="13">
        <f>'TUSD BE'!$Y$13*'TUSD BF'!$Y$58</f>
        <v>0</v>
      </c>
      <c r="Z13" s="13">
        <f>'TUSD BE'!$Z$13*'TUSD BF'!$Z$58</f>
        <v>0</v>
      </c>
      <c r="AA13" s="13">
        <f>'TUSD BE'!$AA$13*'TUSD BF'!$AA$58</f>
        <v>0</v>
      </c>
      <c r="AB13" s="13">
        <f>SUM($U$13:$AA$13)</f>
        <v>0</v>
      </c>
      <c r="AC13" s="13">
        <f>'TUSD BE'!$AC$13*'TUSD BF'!$AC$58</f>
        <v>0</v>
      </c>
      <c r="AD13" s="13">
        <f>SUM($AC$13:$AC$13)</f>
        <v>0</v>
      </c>
      <c r="AE13" s="13">
        <f ca="1">$AO$13*$AO$55</f>
        <v>0</v>
      </c>
      <c r="AF13" s="13">
        <f ca="1">$AP$13*$AP$55</f>
        <v>0</v>
      </c>
      <c r="AG13" s="13">
        <f ca="1">SUM($AE$13:$AF$13)</f>
        <v>0</v>
      </c>
      <c r="AH13" s="13">
        <f>'TUSD BE'!$AH$13*'TUSD BF'!$AH$58</f>
        <v>0</v>
      </c>
      <c r="AI13" s="13">
        <f>'TUSD BE'!$AI$13*'TUSD BF'!$AI$58</f>
        <v>0</v>
      </c>
      <c r="AJ13" s="13">
        <f ca="1">'TUSD BE'!$AJ$13*'TUSD BF'!$AJ$58</f>
        <v>0</v>
      </c>
      <c r="AK13" s="13">
        <f ca="1">'TUSD BE'!$AK$13*'TUSD BF'!$AK$58</f>
        <v>0</v>
      </c>
      <c r="AL13" s="13">
        <f ca="1">SUM($AH$13:$AK$13)</f>
        <v>0</v>
      </c>
      <c r="AM13" s="13">
        <f ca="1">SUMIF($L$4:$AL$4,"SUBTOTAL",$L$13:$AL$13)</f>
        <v>0</v>
      </c>
      <c r="AO13" s="20">
        <f ca="1">+'TUSD BE'!$T$13+'TUSD BE'!$AB$13+'TUSD BE'!$AD$13+'TUSD BE'!$AL$13</f>
        <v>3310.2154878540528</v>
      </c>
      <c r="AP13" s="20">
        <f ca="1">+'TUSD BE'!$T$13+'TUSD BE'!$AB$13+'TUSD BE'!$AD$13+'TUSD BE'!$AL$13</f>
        <v>3310.2154878540528</v>
      </c>
    </row>
    <row r="14" spans="1:42" ht="11.25" customHeight="1" x14ac:dyDescent="0.3">
      <c r="A14" s="92"/>
      <c r="B14" s="92"/>
      <c r="C14" s="92"/>
      <c r="D14" s="92"/>
      <c r="E14" s="92"/>
      <c r="F14" s="92"/>
      <c r="G14" s="18" t="s">
        <v>71</v>
      </c>
      <c r="H14" s="18" t="s">
        <v>69</v>
      </c>
      <c r="I14" s="18">
        <f>'MERCADO TUSD'!$U$11</f>
        <v>0</v>
      </c>
      <c r="J14" s="15"/>
      <c r="L14" s="13">
        <f>'TUSD BE'!$L$14*'TUSD BF'!$L$58</f>
        <v>0</v>
      </c>
      <c r="M14" s="13">
        <f>'TUSD BE'!$M$14*'TUSD BF'!$M$58</f>
        <v>0</v>
      </c>
      <c r="N14" s="13">
        <f ca="1">'TUSD BE'!$N$14*'TUSD BF'!$N$58</f>
        <v>0</v>
      </c>
      <c r="O14" s="13">
        <f>'TUSD BE'!$O$14*'TUSD BF'!$O$58</f>
        <v>0</v>
      </c>
      <c r="P14" s="13">
        <f>'TUSD BE'!$P$14*'TUSD BF'!$P$58</f>
        <v>0</v>
      </c>
      <c r="Q14" s="13">
        <f>'TUSD BE'!$Q$14*'TUSD BF'!$Q$58</f>
        <v>0</v>
      </c>
      <c r="R14" s="13">
        <f>'TUSD BE'!$R$14*'TUSD BF'!$R$58</f>
        <v>0</v>
      </c>
      <c r="S14" s="13">
        <f>'TUSD BE'!$R$14*'TUSD BF'!$S$58</f>
        <v>0</v>
      </c>
      <c r="T14" s="13">
        <f ca="1">SUM($L$14:$S$14)</f>
        <v>0</v>
      </c>
      <c r="U14" s="13">
        <f>'TUSD BE'!$U$14*'TUSD BF'!$U$58</f>
        <v>0</v>
      </c>
      <c r="V14" s="13">
        <f>'TUSD BE'!$V$14*'TUSD BF'!$V$58</f>
        <v>0</v>
      </c>
      <c r="W14" s="13">
        <f>'TUSD BE'!$W$14*'TUSD BF'!$W$58</f>
        <v>0</v>
      </c>
      <c r="X14" s="13">
        <f>'TUSD BE'!$X$14*'TUSD BF'!$X$58</f>
        <v>0</v>
      </c>
      <c r="Y14" s="13">
        <f>'TUSD BE'!$Y$14*'TUSD BF'!$Y$58</f>
        <v>0</v>
      </c>
      <c r="Z14" s="13">
        <f>'TUSD BE'!$Z$14*'TUSD BF'!$Z$58</f>
        <v>0</v>
      </c>
      <c r="AA14" s="13">
        <f>'TUSD BE'!$AA$14*'TUSD BF'!$AA$58</f>
        <v>0</v>
      </c>
      <c r="AB14" s="13">
        <f>SUM($U$14:$AA$14)</f>
        <v>0</v>
      </c>
      <c r="AC14" s="13">
        <f>'TUSD BE'!$AC$14*'TUSD BF'!$AC$58</f>
        <v>0</v>
      </c>
      <c r="AD14" s="13">
        <f>SUM($AC$14:$AC$14)</f>
        <v>0</v>
      </c>
      <c r="AE14" s="13">
        <f ca="1">$AO$14*$AO$55</f>
        <v>0</v>
      </c>
      <c r="AF14" s="13">
        <f ca="1">$AP$14*$AP$55</f>
        <v>0</v>
      </c>
      <c r="AG14" s="13">
        <f ca="1">SUM($AE$14:$AF$14)</f>
        <v>0</v>
      </c>
      <c r="AH14" s="13">
        <f>'TUSD BE'!$AH$14*'TUSD BF'!$AH$58</f>
        <v>0</v>
      </c>
      <c r="AI14" s="13">
        <f>'TUSD BE'!$AI$14*'TUSD BF'!$AI$58</f>
        <v>0</v>
      </c>
      <c r="AJ14" s="13">
        <f ca="1">'TUSD BE'!$AJ$14*'TUSD BF'!$AJ$58</f>
        <v>0</v>
      </c>
      <c r="AK14" s="13">
        <f ca="1">'TUSD BE'!$AK$14*'TUSD BF'!$AK$58</f>
        <v>0</v>
      </c>
      <c r="AL14" s="13">
        <f ca="1">SUM($AH$14:$AK$14)</f>
        <v>0</v>
      </c>
      <c r="AM14" s="13">
        <f ca="1">SUMIF($L$4:$AL$4,"SUBTOTAL",$L$14:$AL$14)</f>
        <v>0</v>
      </c>
      <c r="AO14" s="20">
        <f ca="1">+'TUSD BE'!$T$14+'TUSD BE'!$AB$14+'TUSD BE'!$AD$14+'TUSD BE'!$AL$14</f>
        <v>11.817879498866676</v>
      </c>
      <c r="AP14" s="20">
        <f ca="1">+'TUSD BE'!$T$14+'TUSD BE'!$AB$14+'TUSD BE'!$AD$14+'TUSD BE'!$AL$14</f>
        <v>11.817879498866676</v>
      </c>
    </row>
    <row r="15" spans="1:42" ht="11.25" customHeight="1" x14ac:dyDescent="0.3">
      <c r="A15" s="92" t="s">
        <v>78</v>
      </c>
      <c r="B15" s="92" t="s">
        <v>77</v>
      </c>
      <c r="C15" s="92" t="s">
        <v>25</v>
      </c>
      <c r="D15" s="92" t="s">
        <v>25</v>
      </c>
      <c r="E15" s="17" t="s">
        <v>79</v>
      </c>
      <c r="F15" s="17" t="s">
        <v>25</v>
      </c>
      <c r="G15" s="18" t="s">
        <v>9</v>
      </c>
      <c r="H15" s="18" t="s">
        <v>72</v>
      </c>
      <c r="I15" s="18">
        <f>'MERCADO TUSD'!$U$12+0.00000001</f>
        <v>1E-8</v>
      </c>
      <c r="J15" s="15"/>
      <c r="L15" s="13">
        <f>'TUSD BE'!$L$15*'TUSD BF'!$L$58</f>
        <v>0</v>
      </c>
      <c r="M15" s="13">
        <f>'TUSD BE'!$M$15*'TUSD BF'!$M$58</f>
        <v>0</v>
      </c>
      <c r="N15" s="13">
        <f ca="1">'TUSD BE'!$N$15*'TUSD BF'!$N$58</f>
        <v>0</v>
      </c>
      <c r="O15" s="13">
        <f>'TUSD BE'!$O$15*'TUSD BF'!$O$58</f>
        <v>0</v>
      </c>
      <c r="P15" s="13">
        <f>'TUSD BE'!$P$15*'TUSD BF'!$P$58</f>
        <v>0</v>
      </c>
      <c r="Q15" s="13">
        <f>'TUSD BE'!$Q$15*'TUSD BF'!$Q$58</f>
        <v>0</v>
      </c>
      <c r="R15" s="13">
        <f>'TUSD BE'!$R$15*'TUSD BF'!$R$58</f>
        <v>0</v>
      </c>
      <c r="S15" s="13">
        <f>'TUSD BE'!$R$15*'TUSD BF'!$S$58</f>
        <v>0</v>
      </c>
      <c r="T15" s="13">
        <f ca="1">SUM($L$15:$S$15)</f>
        <v>0</v>
      </c>
      <c r="U15" s="13">
        <f>'TUSD BE'!$U$15*'TUSD BF'!$U$58</f>
        <v>0</v>
      </c>
      <c r="V15" s="13">
        <f>'TUSD BE'!$V$15*'TUSD BF'!$V$58</f>
        <v>0</v>
      </c>
      <c r="W15" s="13">
        <f>'TUSD BE'!$W$15*'TUSD BF'!$W$58</f>
        <v>0</v>
      </c>
      <c r="X15" s="13">
        <f>'TUSD BE'!$X$15*'TUSD BF'!$X$58</f>
        <v>0</v>
      </c>
      <c r="Y15" s="13">
        <f>'TUSD BE'!$Y$15*'TUSD BF'!$Y$58</f>
        <v>0</v>
      </c>
      <c r="Z15" s="13">
        <f>'TUSD BE'!$Z$15*'TUSD BF'!$Z$58</f>
        <v>0</v>
      </c>
      <c r="AA15" s="13">
        <f>'TUSD BE'!$AA$15*'TUSD BF'!$AA$58</f>
        <v>0</v>
      </c>
      <c r="AB15" s="13">
        <f>SUM($U$15:$AA$15)</f>
        <v>0</v>
      </c>
      <c r="AC15" s="13">
        <f>'TUSD BE'!$AC$15*'TUSD BF'!$AC$58</f>
        <v>0</v>
      </c>
      <c r="AD15" s="13">
        <f>SUM($AC$15:$AC$15)</f>
        <v>0</v>
      </c>
      <c r="AE15" s="13">
        <f ca="1">$AO$15*$AO$55</f>
        <v>0</v>
      </c>
      <c r="AF15" s="13">
        <f ca="1">$AP$15*$AP$55</f>
        <v>0</v>
      </c>
      <c r="AG15" s="13">
        <f ca="1">SUM($AE$15:$AF$15)</f>
        <v>0</v>
      </c>
      <c r="AH15" s="13">
        <f>'TUSD BE'!$AH$15*'TUSD BF'!$AH$58</f>
        <v>0</v>
      </c>
      <c r="AI15" s="13">
        <f>'TUSD BE'!$AI$15*'TUSD BF'!$AI$58</f>
        <v>0</v>
      </c>
      <c r="AJ15" s="13">
        <f ca="1">'TUSD BE'!$AJ$15*'TUSD BF'!$AJ$58</f>
        <v>0</v>
      </c>
      <c r="AK15" s="13">
        <f ca="1">'TUSD BE'!$AK$15*'TUSD BF'!$AK$58</f>
        <v>0</v>
      </c>
      <c r="AL15" s="13">
        <f ca="1">SUM($AH$15:$AK$15)</f>
        <v>0</v>
      </c>
      <c r="AM15" s="13">
        <f ca="1">SUMIF($L$4:$AL$4,"SUBTOTAL",$L$15:$AL$15)</f>
        <v>0</v>
      </c>
      <c r="AO15" s="20">
        <f ca="1">+'TUSD BE'!$T$15+'TUSD BE'!$AB$15+'TUSD BE'!$AD$15+'TUSD BE'!$AL$15</f>
        <v>9.2641596402218553</v>
      </c>
      <c r="AP15" s="20">
        <f ca="1">+'TUSD BE'!$T$15+'TUSD BE'!$AB$15+'TUSD BE'!$AD$15+'TUSD BE'!$AL$15</f>
        <v>9.2641596402218553</v>
      </c>
    </row>
    <row r="16" spans="1:42" ht="11.25" customHeight="1" x14ac:dyDescent="0.3">
      <c r="A16" s="92"/>
      <c r="B16" s="92"/>
      <c r="C16" s="92"/>
      <c r="D16" s="92"/>
      <c r="E16" s="17" t="s">
        <v>80</v>
      </c>
      <c r="F16" s="17" t="s">
        <v>25</v>
      </c>
      <c r="G16" s="18" t="s">
        <v>9</v>
      </c>
      <c r="H16" s="18" t="s">
        <v>72</v>
      </c>
      <c r="I16" s="18">
        <f>'MERCADO TUSD'!$U$13+0.00000001</f>
        <v>1E-8</v>
      </c>
      <c r="J16" s="15"/>
      <c r="L16" s="13">
        <f>'TUSD BE'!$L$16*'TUSD BF'!$L$58</f>
        <v>0</v>
      </c>
      <c r="M16" s="13">
        <f>'TUSD BE'!$M$16*'TUSD BF'!$M$58</f>
        <v>0</v>
      </c>
      <c r="N16" s="13">
        <f ca="1">'TUSD BE'!$N$16*'TUSD BF'!$N$58</f>
        <v>0</v>
      </c>
      <c r="O16" s="13">
        <f>'TUSD BE'!$O$16*'TUSD BF'!$O$58</f>
        <v>0</v>
      </c>
      <c r="P16" s="13">
        <f>'TUSD BE'!$P$16*'TUSD BF'!$P$58</f>
        <v>0</v>
      </c>
      <c r="Q16" s="13">
        <f>'TUSD BE'!$Q$16*'TUSD BF'!$Q$58</f>
        <v>0</v>
      </c>
      <c r="R16" s="13">
        <f>'TUSD BE'!$R$16*'TUSD BF'!$R$58</f>
        <v>0</v>
      </c>
      <c r="S16" s="13">
        <f>'TUSD BE'!$R$16*'TUSD BF'!$S$58</f>
        <v>0</v>
      </c>
      <c r="T16" s="13">
        <f ca="1">SUM($L$16:$S$16)</f>
        <v>0</v>
      </c>
      <c r="U16" s="13">
        <f>'TUSD BE'!$U$16*'TUSD BF'!$U$58</f>
        <v>0</v>
      </c>
      <c r="V16" s="13">
        <f>'TUSD BE'!$V$16*'TUSD BF'!$V$58</f>
        <v>0</v>
      </c>
      <c r="W16" s="13">
        <f>'TUSD BE'!$W$16*'TUSD BF'!$W$58</f>
        <v>0</v>
      </c>
      <c r="X16" s="13">
        <f>'TUSD BE'!$X$16*'TUSD BF'!$X$58</f>
        <v>0</v>
      </c>
      <c r="Y16" s="13">
        <f>'TUSD BE'!$Y$16*'TUSD BF'!$Y$58</f>
        <v>0</v>
      </c>
      <c r="Z16" s="13">
        <f>'TUSD BE'!$Z$16*'TUSD BF'!$Z$58</f>
        <v>0</v>
      </c>
      <c r="AA16" s="13">
        <f>'TUSD BE'!$AA$16*'TUSD BF'!$AA$58</f>
        <v>0</v>
      </c>
      <c r="AB16" s="13">
        <f>SUM($U$16:$AA$16)</f>
        <v>0</v>
      </c>
      <c r="AC16" s="13">
        <f>'TUSD BE'!$AC$16*'TUSD BF'!$AC$58</f>
        <v>0</v>
      </c>
      <c r="AD16" s="13">
        <f>SUM($AC$16:$AC$16)</f>
        <v>0</v>
      </c>
      <c r="AE16" s="13">
        <f ca="1">$AO$16*$AO$55</f>
        <v>0</v>
      </c>
      <c r="AF16" s="13">
        <f ca="1">$AP$16*$AP$55</f>
        <v>0</v>
      </c>
      <c r="AG16" s="13">
        <f ca="1">SUM($AE$16:$AF$16)</f>
        <v>0</v>
      </c>
      <c r="AH16" s="13">
        <f>'TUSD BE'!$AH$16*'TUSD BF'!$AH$58</f>
        <v>0</v>
      </c>
      <c r="AI16" s="13">
        <f>'TUSD BE'!$AI$16*'TUSD BF'!$AI$58</f>
        <v>0</v>
      </c>
      <c r="AJ16" s="13">
        <f ca="1">'TUSD BE'!$AJ$16*'TUSD BF'!$AJ$58</f>
        <v>0</v>
      </c>
      <c r="AK16" s="13">
        <f ca="1">'TUSD BE'!$AK$16*'TUSD BF'!$AK$58</f>
        <v>0</v>
      </c>
      <c r="AL16" s="13">
        <f ca="1">SUM($AH$16:$AK$16)</f>
        <v>0</v>
      </c>
      <c r="AM16" s="13">
        <f ca="1">SUMIF($L$4:$AL$4,"SUBTOTAL",$L$16:$AL$16)</f>
        <v>0</v>
      </c>
      <c r="AO16" s="20">
        <f ca="1">+'TUSD BE'!$T$16+'TUSD BE'!$AB$16+'TUSD BE'!$AD$16+'TUSD BE'!$AL$16</f>
        <v>27.56118071192423</v>
      </c>
      <c r="AP16" s="20">
        <f ca="1">+'TUSD BE'!$T$16+'TUSD BE'!$AB$16+'TUSD BE'!$AD$16+'TUSD BE'!$AL$16</f>
        <v>27.56118071192423</v>
      </c>
    </row>
    <row r="17" spans="1:42" ht="11.25" customHeight="1" x14ac:dyDescent="0.3">
      <c r="A17" s="92" t="s">
        <v>22</v>
      </c>
      <c r="B17" s="92" t="s">
        <v>39</v>
      </c>
      <c r="C17" s="92" t="s">
        <v>24</v>
      </c>
      <c r="D17" s="92" t="s">
        <v>24</v>
      </c>
      <c r="E17" s="92" t="s">
        <v>25</v>
      </c>
      <c r="F17" s="92" t="s">
        <v>25</v>
      </c>
      <c r="G17" s="18" t="s">
        <v>70</v>
      </c>
      <c r="H17" s="18" t="s">
        <v>69</v>
      </c>
      <c r="I17" s="18">
        <f>'MERCADO TUSD'!$U$14</f>
        <v>0</v>
      </c>
      <c r="J17" s="15"/>
      <c r="L17" s="13">
        <f>'TUSD BE'!$L$17*'TUSD BF'!$L$58</f>
        <v>0</v>
      </c>
      <c r="M17" s="13">
        <f>'TUSD BE'!$M$17*'TUSD BF'!$M$58</f>
        <v>0</v>
      </c>
      <c r="N17" s="13">
        <f ca="1">'TUSD BE'!$N$17*'TUSD BF'!$N$58</f>
        <v>0</v>
      </c>
      <c r="O17" s="13">
        <f>'TUSD BE'!$O$17*'TUSD BF'!$O$58</f>
        <v>0</v>
      </c>
      <c r="P17" s="13">
        <f>'TUSD BE'!$P$17*'TUSD BF'!$P$58</f>
        <v>0</v>
      </c>
      <c r="Q17" s="13">
        <f>'TUSD BE'!$Q$17*'TUSD BF'!$Q$58</f>
        <v>0</v>
      </c>
      <c r="R17" s="13">
        <f>'TUSD BE'!$R$17*'TUSD BF'!$R$58</f>
        <v>0</v>
      </c>
      <c r="S17" s="13">
        <f>'TUSD BE'!$R$17*'TUSD BF'!$S$58</f>
        <v>0</v>
      </c>
      <c r="T17" s="13">
        <f ca="1">SUM($L$17:$S$17)</f>
        <v>0</v>
      </c>
      <c r="U17" s="13">
        <f>'TUSD BE'!$U$17*'TUSD BF'!$U$58</f>
        <v>0</v>
      </c>
      <c r="V17" s="13">
        <f>'TUSD BE'!$V$17*'TUSD BF'!$V$58</f>
        <v>0</v>
      </c>
      <c r="W17" s="13">
        <f>'TUSD BE'!$W$17*'TUSD BF'!$W$58</f>
        <v>0</v>
      </c>
      <c r="X17" s="13">
        <f>'TUSD BE'!$X$17*'TUSD BF'!$X$58</f>
        <v>0</v>
      </c>
      <c r="Y17" s="13">
        <f>'TUSD BE'!$Y$17*'TUSD BF'!$Y$58</f>
        <v>0</v>
      </c>
      <c r="Z17" s="13">
        <f>'TUSD BE'!$Z$17*'TUSD BF'!$Z$58</f>
        <v>0</v>
      </c>
      <c r="AA17" s="13">
        <f>'TUSD BE'!$AA$17*'TUSD BF'!$AA$58</f>
        <v>0</v>
      </c>
      <c r="AB17" s="13">
        <f>SUM($U$17:$AA$17)</f>
        <v>0</v>
      </c>
      <c r="AC17" s="13">
        <f>'TUSD BE'!$AC$17*'TUSD BF'!$AC$58</f>
        <v>0</v>
      </c>
      <c r="AD17" s="13">
        <f>SUM($AC$17:$AC$17)</f>
        <v>0</v>
      </c>
      <c r="AE17" s="13">
        <f ca="1">$AO$17*$AO$55</f>
        <v>0</v>
      </c>
      <c r="AF17" s="13">
        <f ca="1">$AP$17*$AP$55</f>
        <v>0</v>
      </c>
      <c r="AG17" s="13">
        <f ca="1">SUM($AE$17:$AF$17)</f>
        <v>0</v>
      </c>
      <c r="AH17" s="13">
        <f>'TUSD BE'!$AH$17*'TUSD BF'!$AH$58</f>
        <v>0</v>
      </c>
      <c r="AI17" s="13">
        <f>'TUSD BE'!$AI$17*'TUSD BF'!$AI$58</f>
        <v>0</v>
      </c>
      <c r="AJ17" s="13">
        <f ca="1">'TUSD BE'!$AJ$17*'TUSD BF'!$AJ$58</f>
        <v>0</v>
      </c>
      <c r="AK17" s="13">
        <f ca="1">'TUSD BE'!$AK$17*'TUSD BF'!$AK$58</f>
        <v>0</v>
      </c>
      <c r="AL17" s="13">
        <f ca="1">SUM($AH$17:$AK$17)</f>
        <v>0</v>
      </c>
      <c r="AM17" s="13">
        <f ca="1">SUMIF($L$4:$AL$4,"SUBTOTAL",$L$17:$AL$17)</f>
        <v>0</v>
      </c>
      <c r="AO17" s="20">
        <f ca="1">+'TUSD BE'!$T$17+'TUSD BE'!$AB$17+'TUSD BE'!$AD$17+'TUSD BE'!$AL$17</f>
        <v>1823.5839780666015</v>
      </c>
      <c r="AP17" s="20">
        <f ca="1">+'TUSD BE'!$T$17+'TUSD BE'!$AB$17+'TUSD BE'!$AD$17+'TUSD BE'!$AL$17</f>
        <v>1823.5839780666015</v>
      </c>
    </row>
    <row r="18" spans="1:42" ht="11.25" customHeight="1" x14ac:dyDescent="0.3">
      <c r="A18" s="92"/>
      <c r="B18" s="92"/>
      <c r="C18" s="92"/>
      <c r="D18" s="92"/>
      <c r="E18" s="92"/>
      <c r="F18" s="92"/>
      <c r="G18" s="18" t="s">
        <v>81</v>
      </c>
      <c r="H18" s="18" t="s">
        <v>69</v>
      </c>
      <c r="I18" s="18">
        <f>'MERCADO TUSD'!$U$15</f>
        <v>0</v>
      </c>
      <c r="J18" s="15"/>
      <c r="L18" s="13">
        <f>'TUSD BE'!$L$18*'TUSD BF'!$L$58</f>
        <v>0</v>
      </c>
      <c r="M18" s="13">
        <f>'TUSD BE'!$M$18*'TUSD BF'!$M$58</f>
        <v>0</v>
      </c>
      <c r="N18" s="13">
        <f ca="1">'TUSD BE'!$N$18*'TUSD BF'!$N$58</f>
        <v>0</v>
      </c>
      <c r="O18" s="13">
        <f>'TUSD BE'!$O$18*'TUSD BF'!$O$58</f>
        <v>0</v>
      </c>
      <c r="P18" s="13">
        <f>'TUSD BE'!$P$18*'TUSD BF'!$P$58</f>
        <v>0</v>
      </c>
      <c r="Q18" s="13">
        <f>'TUSD BE'!$Q$18*'TUSD BF'!$Q$58</f>
        <v>0</v>
      </c>
      <c r="R18" s="13">
        <f>'TUSD BE'!$R$18*'TUSD BF'!$R$58</f>
        <v>0</v>
      </c>
      <c r="S18" s="13">
        <f>'TUSD BE'!$R$18*'TUSD BF'!$S$58</f>
        <v>0</v>
      </c>
      <c r="T18" s="13">
        <f ca="1">SUM($L$18:$S$18)</f>
        <v>0</v>
      </c>
      <c r="U18" s="13">
        <f>'TUSD BE'!$U$18*'TUSD BF'!$U$58</f>
        <v>0</v>
      </c>
      <c r="V18" s="13">
        <f>'TUSD BE'!$V$18*'TUSD BF'!$V$58</f>
        <v>0</v>
      </c>
      <c r="W18" s="13">
        <f>'TUSD BE'!$W$18*'TUSD BF'!$W$58</f>
        <v>0</v>
      </c>
      <c r="X18" s="13">
        <f>'TUSD BE'!$X$18*'TUSD BF'!$X$58</f>
        <v>0</v>
      </c>
      <c r="Y18" s="13">
        <f>'TUSD BE'!$Y$18*'TUSD BF'!$Y$58</f>
        <v>0</v>
      </c>
      <c r="Z18" s="13">
        <f>'TUSD BE'!$Z$18*'TUSD BF'!$Z$58</f>
        <v>0</v>
      </c>
      <c r="AA18" s="13">
        <f>'TUSD BE'!$AA$18*'TUSD BF'!$AA$58</f>
        <v>0</v>
      </c>
      <c r="AB18" s="13">
        <f>SUM($U$18:$AA$18)</f>
        <v>0</v>
      </c>
      <c r="AC18" s="13">
        <f>'TUSD BE'!$AC$18*'TUSD BF'!$AC$58</f>
        <v>0</v>
      </c>
      <c r="AD18" s="13">
        <f>SUM($AC$18:$AC$18)</f>
        <v>0</v>
      </c>
      <c r="AE18" s="13">
        <f ca="1">$AO$18*$AO$55</f>
        <v>0</v>
      </c>
      <c r="AF18" s="13">
        <f ca="1">$AP$18*$AP$55</f>
        <v>0</v>
      </c>
      <c r="AG18" s="13">
        <f ca="1">SUM($AE$18:$AF$18)</f>
        <v>0</v>
      </c>
      <c r="AH18" s="13">
        <f>'TUSD BE'!$AH$18*'TUSD BF'!$AH$58</f>
        <v>0</v>
      </c>
      <c r="AI18" s="13">
        <f>'TUSD BE'!$AI$18*'TUSD BF'!$AI$58</f>
        <v>0</v>
      </c>
      <c r="AJ18" s="13">
        <f ca="1">'TUSD BE'!$AJ$18*'TUSD BF'!$AJ$58</f>
        <v>0</v>
      </c>
      <c r="AK18" s="13">
        <f ca="1">'TUSD BE'!$AK$18*'TUSD BF'!$AK$58</f>
        <v>0</v>
      </c>
      <c r="AL18" s="13">
        <f ca="1">SUM($AH$18:$AK$18)</f>
        <v>0</v>
      </c>
      <c r="AM18" s="13">
        <f ca="1">SUMIF($L$4:$AL$4,"SUBTOTAL",$L$18:$AL$18)</f>
        <v>0</v>
      </c>
      <c r="AO18" s="20">
        <f ca="1">+'TUSD BE'!$T$18+'TUSD BE'!$AB$18+'TUSD BE'!$AD$18+'TUSD BE'!$AL$18</f>
        <v>1145.5550573920834</v>
      </c>
      <c r="AP18" s="20">
        <f ca="1">+'TUSD BE'!$T$18+'TUSD BE'!$AB$18+'TUSD BE'!$AD$18+'TUSD BE'!$AL$18</f>
        <v>1145.5550573920834</v>
      </c>
    </row>
    <row r="19" spans="1:42" ht="11.25" customHeight="1" x14ac:dyDescent="0.3">
      <c r="A19" s="92"/>
      <c r="B19" s="92"/>
      <c r="C19" s="92"/>
      <c r="D19" s="92"/>
      <c r="E19" s="92"/>
      <c r="F19" s="92"/>
      <c r="G19" s="18" t="s">
        <v>71</v>
      </c>
      <c r="H19" s="18" t="s">
        <v>69</v>
      </c>
      <c r="I19" s="18">
        <f>'MERCADO TUSD'!$U$16</f>
        <v>0</v>
      </c>
      <c r="J19" s="15"/>
      <c r="L19" s="13">
        <f>'TUSD BE'!$L$19*'TUSD BF'!$L$58</f>
        <v>0</v>
      </c>
      <c r="M19" s="13">
        <f>'TUSD BE'!$M$19*'TUSD BF'!$M$58</f>
        <v>0</v>
      </c>
      <c r="N19" s="13">
        <f ca="1">'TUSD BE'!$N$19*'TUSD BF'!$N$58</f>
        <v>0</v>
      </c>
      <c r="O19" s="13">
        <f>'TUSD BE'!$O$19*'TUSD BF'!$O$58</f>
        <v>0</v>
      </c>
      <c r="P19" s="13">
        <f>'TUSD BE'!$P$19*'TUSD BF'!$P$58</f>
        <v>0</v>
      </c>
      <c r="Q19" s="13">
        <f>'TUSD BE'!$Q$19*'TUSD BF'!$Q$58</f>
        <v>0</v>
      </c>
      <c r="R19" s="13">
        <f>'TUSD BE'!$R$19*'TUSD BF'!$R$58</f>
        <v>0</v>
      </c>
      <c r="S19" s="13">
        <f>'TUSD BE'!$R$19*'TUSD BF'!$S$58</f>
        <v>0</v>
      </c>
      <c r="T19" s="13">
        <f ca="1">SUM($L$19:$S$19)</f>
        <v>0</v>
      </c>
      <c r="U19" s="13">
        <f>'TUSD BE'!$U$19*'TUSD BF'!$U$58</f>
        <v>0</v>
      </c>
      <c r="V19" s="13">
        <f>'TUSD BE'!$V$19*'TUSD BF'!$V$58</f>
        <v>0</v>
      </c>
      <c r="W19" s="13">
        <f>'TUSD BE'!$W$19*'TUSD BF'!$W$58</f>
        <v>0</v>
      </c>
      <c r="X19" s="13">
        <f>'TUSD BE'!$X$19*'TUSD BF'!$X$58</f>
        <v>0</v>
      </c>
      <c r="Y19" s="13">
        <f>'TUSD BE'!$Y$19*'TUSD BF'!$Y$58</f>
        <v>0</v>
      </c>
      <c r="Z19" s="13">
        <f>'TUSD BE'!$Z$19*'TUSD BF'!$Z$58</f>
        <v>0</v>
      </c>
      <c r="AA19" s="13">
        <f>'TUSD BE'!$AA$19*'TUSD BF'!$AA$58</f>
        <v>0</v>
      </c>
      <c r="AB19" s="13">
        <f>SUM($U$19:$AA$19)</f>
        <v>0</v>
      </c>
      <c r="AC19" s="13">
        <f>'TUSD BE'!$AC$19*'TUSD BF'!$AC$58</f>
        <v>0</v>
      </c>
      <c r="AD19" s="13">
        <f>SUM($AC$19:$AC$19)</f>
        <v>0</v>
      </c>
      <c r="AE19" s="13">
        <f ca="1">$AO$19*$AO$55</f>
        <v>0</v>
      </c>
      <c r="AF19" s="13">
        <f ca="1">$AP$19*$AP$55</f>
        <v>0</v>
      </c>
      <c r="AG19" s="13">
        <f ca="1">SUM($AE$19:$AF$19)</f>
        <v>0</v>
      </c>
      <c r="AH19" s="13">
        <f>'TUSD BE'!$AH$19*'TUSD BF'!$AH$58</f>
        <v>0</v>
      </c>
      <c r="AI19" s="13">
        <f>'TUSD BE'!$AI$19*'TUSD BF'!$AI$58</f>
        <v>0</v>
      </c>
      <c r="AJ19" s="13">
        <f ca="1">'TUSD BE'!$AJ$19*'TUSD BF'!$AJ$58</f>
        <v>0</v>
      </c>
      <c r="AK19" s="13">
        <f ca="1">'TUSD BE'!$AK$19*'TUSD BF'!$AK$58</f>
        <v>0</v>
      </c>
      <c r="AL19" s="13">
        <f ca="1">SUM($AH$19:$AK$19)</f>
        <v>0</v>
      </c>
      <c r="AM19" s="13">
        <f ca="1">SUMIF($L$4:$AL$4,"SUBTOTAL",$L$19:$AL$19)</f>
        <v>0</v>
      </c>
      <c r="AO19" s="20">
        <f ca="1">+'TUSD BE'!$T$19+'TUSD BE'!$AB$19+'TUSD BE'!$AD$19+'TUSD BE'!$AL$19</f>
        <v>467.52542430772718</v>
      </c>
      <c r="AP19" s="20">
        <f ca="1">+'TUSD BE'!$T$19+'TUSD BE'!$AB$19+'TUSD BE'!$AD$19+'TUSD BE'!$AL$19</f>
        <v>467.52542430772718</v>
      </c>
    </row>
    <row r="20" spans="1:42" ht="11.25" customHeight="1" x14ac:dyDescent="0.3">
      <c r="A20" s="92"/>
      <c r="B20" s="92" t="s">
        <v>23</v>
      </c>
      <c r="C20" s="92" t="s">
        <v>24</v>
      </c>
      <c r="D20" s="17" t="s">
        <v>24</v>
      </c>
      <c r="E20" s="17" t="s">
        <v>25</v>
      </c>
      <c r="F20" s="17" t="s">
        <v>25</v>
      </c>
      <c r="G20" s="18" t="s">
        <v>75</v>
      </c>
      <c r="H20" s="18" t="s">
        <v>69</v>
      </c>
      <c r="I20" s="18">
        <f>'MERCADO TUSD'!$U$17</f>
        <v>6626.2160000000003</v>
      </c>
      <c r="J20" s="15"/>
      <c r="L20" s="13">
        <f>'TUSD BE'!$L$20*'TUSD BF'!$L$58</f>
        <v>0</v>
      </c>
      <c r="M20" s="13">
        <f>'TUSD BE'!$M$20*'TUSD BF'!$M$58</f>
        <v>0</v>
      </c>
      <c r="N20" s="13">
        <f ca="1">'TUSD BE'!$N$20*'TUSD BF'!$N$58</f>
        <v>0</v>
      </c>
      <c r="O20" s="13">
        <f>'TUSD BE'!$O$20*'TUSD BF'!$O$58</f>
        <v>0</v>
      </c>
      <c r="P20" s="13">
        <f>'TUSD BE'!$P$20*'TUSD BF'!$P$58</f>
        <v>0</v>
      </c>
      <c r="Q20" s="13">
        <f>'TUSD BE'!$Q$20*'TUSD BF'!$Q$58</f>
        <v>0</v>
      </c>
      <c r="R20" s="13">
        <f>'TUSD BE'!$R$20*'TUSD BF'!$R$58</f>
        <v>0</v>
      </c>
      <c r="S20" s="13">
        <f>'TUSD BE'!$R$20*'TUSD BF'!$S$58</f>
        <v>0</v>
      </c>
      <c r="T20" s="13">
        <f ca="1">SUM($L$20:$S$20)</f>
        <v>0</v>
      </c>
      <c r="U20" s="13">
        <f>'TUSD BE'!$U$20*'TUSD BF'!$U$58</f>
        <v>0</v>
      </c>
      <c r="V20" s="13">
        <f>'TUSD BE'!$V$20*'TUSD BF'!$V$58</f>
        <v>0</v>
      </c>
      <c r="W20" s="13">
        <f>'TUSD BE'!$W$20*'TUSD BF'!$W$58</f>
        <v>0</v>
      </c>
      <c r="X20" s="13">
        <f>'TUSD BE'!$X$20*'TUSD BF'!$X$58</f>
        <v>0</v>
      </c>
      <c r="Y20" s="13">
        <f>'TUSD BE'!$Y$20*'TUSD BF'!$Y$58</f>
        <v>0</v>
      </c>
      <c r="Z20" s="13">
        <f>'TUSD BE'!$Z$20*'TUSD BF'!$Z$58</f>
        <v>0</v>
      </c>
      <c r="AA20" s="13">
        <f>'TUSD BE'!$AA$20*'TUSD BF'!$AA$58</f>
        <v>0</v>
      </c>
      <c r="AB20" s="13">
        <f>SUM($U$20:$AA$20)</f>
        <v>0</v>
      </c>
      <c r="AC20" s="13">
        <f>'TUSD BE'!$AC$20*'TUSD BF'!$AC$58</f>
        <v>0</v>
      </c>
      <c r="AD20" s="13">
        <f>SUM($AC$20:$AC$20)</f>
        <v>0</v>
      </c>
      <c r="AE20" s="13">
        <f ca="1">$AO$20*$AO$55</f>
        <v>0</v>
      </c>
      <c r="AF20" s="13">
        <f ca="1">$AP$20*$AP$55</f>
        <v>0</v>
      </c>
      <c r="AG20" s="13">
        <f ca="1">SUM($AE$20:$AF$20)</f>
        <v>0</v>
      </c>
      <c r="AH20" s="13">
        <f>'TUSD BE'!$AH$20*'TUSD BF'!$AH$58</f>
        <v>0</v>
      </c>
      <c r="AI20" s="13">
        <f>'TUSD BE'!$AI$20*'TUSD BF'!$AI$58</f>
        <v>0</v>
      </c>
      <c r="AJ20" s="13">
        <f ca="1">'TUSD BE'!$AJ$20*'TUSD BF'!$AJ$58</f>
        <v>0</v>
      </c>
      <c r="AK20" s="13">
        <f ca="1">'TUSD BE'!$AK$20*'TUSD BF'!$AK$58</f>
        <v>0</v>
      </c>
      <c r="AL20" s="13">
        <f ca="1">SUM($AH$20:$AK$20)</f>
        <v>0</v>
      </c>
      <c r="AM20" s="13">
        <f ca="1">SUMIF($L$4:$AL$4,"SUBTOTAL",$L$20:$AL$20)</f>
        <v>0</v>
      </c>
      <c r="AO20" s="20">
        <f ca="1">+'TUSD BE'!$T$20+'TUSD BE'!$AB$20+'TUSD BE'!$AD$20+'TUSD BE'!$AL$20</f>
        <v>756.32608161848884</v>
      </c>
      <c r="AP20" s="20">
        <f ca="1">+'TUSD BE'!$T$20+'TUSD BE'!$AB$20+'TUSD BE'!$AD$20+'TUSD BE'!$AL$20</f>
        <v>756.32608161848884</v>
      </c>
    </row>
    <row r="21" spans="1:42" ht="11.25" customHeight="1" x14ac:dyDescent="0.3">
      <c r="A21" s="92"/>
      <c r="B21" s="92"/>
      <c r="C21" s="92"/>
      <c r="D21" s="17" t="s">
        <v>29</v>
      </c>
      <c r="E21" s="17" t="s">
        <v>25</v>
      </c>
      <c r="F21" s="17" t="s">
        <v>25</v>
      </c>
      <c r="G21" s="18" t="s">
        <v>75</v>
      </c>
      <c r="H21" s="18" t="s">
        <v>69</v>
      </c>
      <c r="I21" s="18">
        <f>'MERCADO TUSD'!$U$18</f>
        <v>56.819999999999993</v>
      </c>
      <c r="J21" s="15"/>
      <c r="L21" s="13">
        <f>'TUSD BE'!$L$21*'TUSD BF'!$L$58</f>
        <v>0</v>
      </c>
      <c r="M21" s="13">
        <f>'TUSD BE'!$M$21*'TUSD BF'!$M$58</f>
        <v>0</v>
      </c>
      <c r="N21" s="13">
        <f ca="1">'TUSD BE'!$N$21*'TUSD BF'!$N$58</f>
        <v>0</v>
      </c>
      <c r="O21" s="13">
        <f>'TUSD BE'!$O$21*'TUSD BF'!$O$58</f>
        <v>0</v>
      </c>
      <c r="P21" s="13">
        <f>'TUSD BE'!$P$21*'TUSD BF'!$P$58</f>
        <v>0</v>
      </c>
      <c r="Q21" s="13">
        <f>'TUSD BE'!$Q$21*'TUSD BF'!$Q$58</f>
        <v>0</v>
      </c>
      <c r="R21" s="13">
        <f>'TUSD BE'!$R$21*'TUSD BF'!$R$58</f>
        <v>0</v>
      </c>
      <c r="S21" s="13">
        <f>'TUSD BE'!$R$21*'TUSD BF'!$S$58</f>
        <v>0</v>
      </c>
      <c r="T21" s="13">
        <f ca="1">SUM($L$21:$S$21)</f>
        <v>0</v>
      </c>
      <c r="U21" s="13">
        <f>'TUSD BE'!$U$21*'TUSD BF'!$U$58</f>
        <v>0</v>
      </c>
      <c r="V21" s="13">
        <f>'TUSD BE'!$V$21*'TUSD BF'!$V$58</f>
        <v>0</v>
      </c>
      <c r="W21" s="13">
        <f>'TUSD BE'!$W$21*'TUSD BF'!$W$58</f>
        <v>0</v>
      </c>
      <c r="X21" s="13">
        <f>'TUSD BE'!$X$21*'TUSD BF'!$X$58</f>
        <v>0</v>
      </c>
      <c r="Y21" s="13">
        <f>'TUSD BE'!$Y$21*'TUSD BF'!$Y$58</f>
        <v>0</v>
      </c>
      <c r="Z21" s="13">
        <f>'TUSD BE'!$Z$21*'TUSD BF'!$Z$58</f>
        <v>0</v>
      </c>
      <c r="AA21" s="13">
        <f>'TUSD BE'!$AA$21*'TUSD BF'!$AA$58</f>
        <v>0</v>
      </c>
      <c r="AB21" s="13">
        <f>SUM($U$21:$AA$21)</f>
        <v>0</v>
      </c>
      <c r="AC21" s="13">
        <f>'TUSD BE'!$AC$21*'TUSD BF'!$AC$58</f>
        <v>0</v>
      </c>
      <c r="AD21" s="13">
        <f>SUM($AC$21:$AC$21)</f>
        <v>0</v>
      </c>
      <c r="AE21" s="13">
        <f ca="1">$AO$21*$AO$55</f>
        <v>0</v>
      </c>
      <c r="AF21" s="13">
        <f ca="1">$AP$21*$AP$55</f>
        <v>0</v>
      </c>
      <c r="AG21" s="13">
        <f ca="1">SUM($AE$21:$AF$21)</f>
        <v>0</v>
      </c>
      <c r="AH21" s="13">
        <f>'TUSD BE'!$AH$21*'TUSD BF'!$AH$58</f>
        <v>0</v>
      </c>
      <c r="AI21" s="13">
        <f>'TUSD BE'!$AI$21*'TUSD BF'!$AI$58</f>
        <v>0</v>
      </c>
      <c r="AJ21" s="13">
        <f ca="1">'TUSD BE'!$AJ$21*'TUSD BF'!$AJ$58</f>
        <v>0</v>
      </c>
      <c r="AK21" s="13">
        <f ca="1">'TUSD BE'!$AK$21*'TUSD BF'!$AK$58</f>
        <v>0</v>
      </c>
      <c r="AL21" s="13">
        <f ca="1">SUM($AH$21:$AK$21)</f>
        <v>0</v>
      </c>
      <c r="AM21" s="13">
        <f ca="1">SUMIF($L$4:$AL$4,"SUBTOTAL",$L$21:$AL$21)</f>
        <v>0</v>
      </c>
      <c r="AO21" s="20">
        <f ca="1">+'TUSD BE'!$T$21+'TUSD BE'!$AB$21+'TUSD BE'!$AD$21+'TUSD BE'!$AL$21</f>
        <v>651.6600822670348</v>
      </c>
      <c r="AP21" s="20">
        <f ca="1">+'TUSD BE'!$T$21+'TUSD BE'!$AB$21+'TUSD BE'!$AD$21+'TUSD BE'!$AL$21</f>
        <v>651.6600822670348</v>
      </c>
    </row>
    <row r="22" spans="1:42" ht="11.25" customHeight="1" x14ac:dyDescent="0.3">
      <c r="A22" s="92"/>
      <c r="B22" s="92"/>
      <c r="C22" s="92"/>
      <c r="D22" s="17" t="s">
        <v>30</v>
      </c>
      <c r="E22" s="17" t="s">
        <v>25</v>
      </c>
      <c r="F22" s="17" t="s">
        <v>25</v>
      </c>
      <c r="G22" s="18" t="s">
        <v>75</v>
      </c>
      <c r="H22" s="18" t="s">
        <v>69</v>
      </c>
      <c r="I22" s="18">
        <f>'MERCADO TUSD'!$U$19</f>
        <v>114.55999999999999</v>
      </c>
      <c r="J22" s="15"/>
      <c r="L22" s="13">
        <f>'TUSD BE'!$L$22*'TUSD BF'!$L$58</f>
        <v>0</v>
      </c>
      <c r="M22" s="13">
        <f>'TUSD BE'!$M$22*'TUSD BF'!$M$58</f>
        <v>0</v>
      </c>
      <c r="N22" s="13">
        <f ca="1">'TUSD BE'!$N$22*'TUSD BF'!$N$58</f>
        <v>0</v>
      </c>
      <c r="O22" s="13">
        <f>'TUSD BE'!$O$22*'TUSD BF'!$O$58</f>
        <v>0</v>
      </c>
      <c r="P22" s="13">
        <f>'TUSD BE'!$P$22*'TUSD BF'!$P$58</f>
        <v>0</v>
      </c>
      <c r="Q22" s="13">
        <f>'TUSD BE'!$Q$22*'TUSD BF'!$Q$58</f>
        <v>0</v>
      </c>
      <c r="R22" s="13">
        <f>'TUSD BE'!$R$22*'TUSD BF'!$R$58</f>
        <v>0</v>
      </c>
      <c r="S22" s="13">
        <f>'TUSD BE'!$R$22*'TUSD BF'!$S$58</f>
        <v>0</v>
      </c>
      <c r="T22" s="13">
        <f ca="1">SUM($L$22:$S$22)</f>
        <v>0</v>
      </c>
      <c r="U22" s="13">
        <f>'TUSD BE'!$U$22*'TUSD BF'!$U$58</f>
        <v>0</v>
      </c>
      <c r="V22" s="13">
        <f>'TUSD BE'!$V$22*'TUSD BF'!$V$58</f>
        <v>0</v>
      </c>
      <c r="W22" s="13">
        <f>'TUSD BE'!$W$22*'TUSD BF'!$W$58</f>
        <v>0</v>
      </c>
      <c r="X22" s="13">
        <f>'TUSD BE'!$X$22*'TUSD BF'!$X$58</f>
        <v>0</v>
      </c>
      <c r="Y22" s="13">
        <f>'TUSD BE'!$Y$22*'TUSD BF'!$Y$58</f>
        <v>0</v>
      </c>
      <c r="Z22" s="13">
        <f>'TUSD BE'!$Z$22*'TUSD BF'!$Z$58</f>
        <v>0</v>
      </c>
      <c r="AA22" s="13">
        <f>'TUSD BE'!$AA$22*'TUSD BF'!$AA$58</f>
        <v>0</v>
      </c>
      <c r="AB22" s="13">
        <f>SUM($U$22:$AA$22)</f>
        <v>0</v>
      </c>
      <c r="AC22" s="13">
        <f>'TUSD BE'!$AC$22*'TUSD BF'!$AC$58</f>
        <v>0</v>
      </c>
      <c r="AD22" s="13">
        <f>SUM($AC$22:$AC$22)</f>
        <v>0</v>
      </c>
      <c r="AE22" s="13">
        <f ca="1">$AO$22*$AO$55</f>
        <v>0</v>
      </c>
      <c r="AF22" s="13">
        <f ca="1">$AP$22*$AP$55</f>
        <v>0</v>
      </c>
      <c r="AG22" s="13">
        <f ca="1">SUM($AE$22:$AF$22)</f>
        <v>0</v>
      </c>
      <c r="AH22" s="13">
        <f>'TUSD BE'!$AH$22*'TUSD BF'!$AH$58</f>
        <v>0</v>
      </c>
      <c r="AI22" s="13">
        <f>'TUSD BE'!$AI$22*'TUSD BF'!$AI$58</f>
        <v>0</v>
      </c>
      <c r="AJ22" s="13">
        <f ca="1">'TUSD BE'!$AJ$22*'TUSD BF'!$AJ$58</f>
        <v>0</v>
      </c>
      <c r="AK22" s="13">
        <f ca="1">'TUSD BE'!$AK$22*'TUSD BF'!$AK$58</f>
        <v>0</v>
      </c>
      <c r="AL22" s="13">
        <f ca="1">SUM($AH$22:$AK$22)</f>
        <v>0</v>
      </c>
      <c r="AM22" s="13">
        <f ca="1">SUMIF($L$4:$AL$4,"SUBTOTAL",$L$22:$AL$22)</f>
        <v>0</v>
      </c>
      <c r="AO22" s="20">
        <f ca="1">+'TUSD BE'!$T$22+'TUSD BE'!$AB$22+'TUSD BE'!$AD$22+'TUSD BE'!$AL$22</f>
        <v>651.6600822670348</v>
      </c>
      <c r="AP22" s="20">
        <f ca="1">+'TUSD BE'!$T$22+'TUSD BE'!$AB$22+'TUSD BE'!$AD$22+'TUSD BE'!$AL$22</f>
        <v>651.6600822670348</v>
      </c>
    </row>
    <row r="23" spans="1:42" ht="11.25" customHeight="1" x14ac:dyDescent="0.3">
      <c r="A23" s="92"/>
      <c r="B23" s="92"/>
      <c r="C23" s="92"/>
      <c r="D23" s="17" t="s">
        <v>31</v>
      </c>
      <c r="E23" s="17" t="s">
        <v>25</v>
      </c>
      <c r="F23" s="17" t="s">
        <v>25</v>
      </c>
      <c r="G23" s="18" t="s">
        <v>75</v>
      </c>
      <c r="H23" s="18" t="s">
        <v>69</v>
      </c>
      <c r="I23" s="18">
        <f>'MERCADO TUSD'!$U$20</f>
        <v>116.22800000000001</v>
      </c>
      <c r="J23" s="15"/>
      <c r="L23" s="13">
        <f>'TUSD BE'!$L$23*'TUSD BF'!$L$58</f>
        <v>0</v>
      </c>
      <c r="M23" s="13">
        <f>'TUSD BE'!$M$23*'TUSD BF'!$M$58</f>
        <v>0</v>
      </c>
      <c r="N23" s="13">
        <f ca="1">'TUSD BE'!$N$23*'TUSD BF'!$N$58</f>
        <v>0</v>
      </c>
      <c r="O23" s="13">
        <f>'TUSD BE'!$O$23*'TUSD BF'!$O$58</f>
        <v>0</v>
      </c>
      <c r="P23" s="13">
        <f>'TUSD BE'!$P$23*'TUSD BF'!$P$58</f>
        <v>0</v>
      </c>
      <c r="Q23" s="13">
        <f>'TUSD BE'!$Q$23*'TUSD BF'!$Q$58</f>
        <v>0</v>
      </c>
      <c r="R23" s="13">
        <f>'TUSD BE'!$R$23*'TUSD BF'!$R$58</f>
        <v>0</v>
      </c>
      <c r="S23" s="13">
        <f>'TUSD BE'!$R$23*'TUSD BF'!$S$58</f>
        <v>0</v>
      </c>
      <c r="T23" s="13">
        <f ca="1">SUM($L$23:$S$23)</f>
        <v>0</v>
      </c>
      <c r="U23" s="13">
        <f>'TUSD BE'!$U$23*'TUSD BF'!$U$58</f>
        <v>0</v>
      </c>
      <c r="V23" s="13">
        <f>'TUSD BE'!$V$23*'TUSD BF'!$V$58</f>
        <v>0</v>
      </c>
      <c r="W23" s="13">
        <f>'TUSD BE'!$W$23*'TUSD BF'!$W$58</f>
        <v>0</v>
      </c>
      <c r="X23" s="13">
        <f>'TUSD BE'!$X$23*'TUSD BF'!$X$58</f>
        <v>0</v>
      </c>
      <c r="Y23" s="13">
        <f>'TUSD BE'!$Y$23*'TUSD BF'!$Y$58</f>
        <v>0</v>
      </c>
      <c r="Z23" s="13">
        <f>'TUSD BE'!$Z$23*'TUSD BF'!$Z$58</f>
        <v>0</v>
      </c>
      <c r="AA23" s="13">
        <f>'TUSD BE'!$AA$23*'TUSD BF'!$AA$58</f>
        <v>0</v>
      </c>
      <c r="AB23" s="13">
        <f>SUM($U$23:$AA$23)</f>
        <v>0</v>
      </c>
      <c r="AC23" s="13">
        <f>'TUSD BE'!$AC$23*'TUSD BF'!$AC$58</f>
        <v>0</v>
      </c>
      <c r="AD23" s="13">
        <f>SUM($AC$23:$AC$23)</f>
        <v>0</v>
      </c>
      <c r="AE23" s="13">
        <f ca="1">$AO$23*$AO$55</f>
        <v>0</v>
      </c>
      <c r="AF23" s="13">
        <f ca="1">$AP$23*$AP$55</f>
        <v>0</v>
      </c>
      <c r="AG23" s="13">
        <f ca="1">SUM($AE$23:$AF$23)</f>
        <v>0</v>
      </c>
      <c r="AH23" s="13">
        <f>'TUSD BE'!$AH$23*'TUSD BF'!$AH$58</f>
        <v>0</v>
      </c>
      <c r="AI23" s="13">
        <f>'TUSD BE'!$AI$23*'TUSD BF'!$AI$58</f>
        <v>0</v>
      </c>
      <c r="AJ23" s="13">
        <f ca="1">'TUSD BE'!$AJ$23*'TUSD BF'!$AJ$58</f>
        <v>0</v>
      </c>
      <c r="AK23" s="13">
        <f ca="1">'TUSD BE'!$AK$23*'TUSD BF'!$AK$58</f>
        <v>0</v>
      </c>
      <c r="AL23" s="13">
        <f ca="1">SUM($AH$23:$AK$23)</f>
        <v>0</v>
      </c>
      <c r="AM23" s="13">
        <f ca="1">SUMIF($L$4:$AL$4,"SUBTOTAL",$L$23:$AL$23)</f>
        <v>0</v>
      </c>
      <c r="AO23" s="20">
        <f ca="1">+'TUSD BE'!$T$23+'TUSD BE'!$AB$23+'TUSD BE'!$AD$23+'TUSD BE'!$AL$23</f>
        <v>651.6600822670348</v>
      </c>
      <c r="AP23" s="20">
        <f ca="1">+'TUSD BE'!$T$23+'TUSD BE'!$AB$23+'TUSD BE'!$AD$23+'TUSD BE'!$AL$23</f>
        <v>651.6600822670348</v>
      </c>
    </row>
    <row r="24" spans="1:42" ht="11.25" customHeight="1" x14ac:dyDescent="0.3">
      <c r="A24" s="92"/>
      <c r="B24" s="92"/>
      <c r="C24" s="92"/>
      <c r="D24" s="17" t="s">
        <v>32</v>
      </c>
      <c r="E24" s="17" t="s">
        <v>25</v>
      </c>
      <c r="F24" s="17" t="s">
        <v>25</v>
      </c>
      <c r="G24" s="18" t="s">
        <v>75</v>
      </c>
      <c r="H24" s="18" t="s">
        <v>69</v>
      </c>
      <c r="I24" s="18">
        <f>'MERCADO TUSD'!$U$21</f>
        <v>45.311999999999998</v>
      </c>
      <c r="J24" s="15"/>
      <c r="L24" s="13">
        <f>'TUSD BE'!$L$24*'TUSD BF'!$L$58</f>
        <v>0</v>
      </c>
      <c r="M24" s="13">
        <f>'TUSD BE'!$M$24*'TUSD BF'!$M$58</f>
        <v>0</v>
      </c>
      <c r="N24" s="13">
        <f ca="1">'TUSD BE'!$N$24*'TUSD BF'!$N$58</f>
        <v>0</v>
      </c>
      <c r="O24" s="13">
        <f>'TUSD BE'!$O$24*'TUSD BF'!$O$58</f>
        <v>0</v>
      </c>
      <c r="P24" s="13">
        <f>'TUSD BE'!$P$24*'TUSD BF'!$P$58</f>
        <v>0</v>
      </c>
      <c r="Q24" s="13">
        <f>'TUSD BE'!$Q$24*'TUSD BF'!$Q$58</f>
        <v>0</v>
      </c>
      <c r="R24" s="13">
        <f>'TUSD BE'!$R$24*'TUSD BF'!$R$58</f>
        <v>0</v>
      </c>
      <c r="S24" s="13">
        <f>'TUSD BE'!$R$24*'TUSD BF'!$S$58</f>
        <v>0</v>
      </c>
      <c r="T24" s="13">
        <f ca="1">SUM($L$24:$S$24)</f>
        <v>0</v>
      </c>
      <c r="U24" s="13">
        <f>'TUSD BE'!$U$24*'TUSD BF'!$U$58</f>
        <v>0</v>
      </c>
      <c r="V24" s="13">
        <f>'TUSD BE'!$V$24*'TUSD BF'!$V$58</f>
        <v>0</v>
      </c>
      <c r="W24" s="13">
        <f>'TUSD BE'!$W$24*'TUSD BF'!$W$58</f>
        <v>0</v>
      </c>
      <c r="X24" s="13">
        <f>'TUSD BE'!$X$24*'TUSD BF'!$X$58</f>
        <v>0</v>
      </c>
      <c r="Y24" s="13">
        <f>'TUSD BE'!$Y$24*'TUSD BF'!$Y$58</f>
        <v>0</v>
      </c>
      <c r="Z24" s="13">
        <f>'TUSD BE'!$Z$24*'TUSD BF'!$Z$58</f>
        <v>0</v>
      </c>
      <c r="AA24" s="13">
        <f>'TUSD BE'!$AA$24*'TUSD BF'!$AA$58</f>
        <v>0</v>
      </c>
      <c r="AB24" s="13">
        <f>SUM($U$24:$AA$24)</f>
        <v>0</v>
      </c>
      <c r="AC24" s="13">
        <f>'TUSD BE'!$AC$24*'TUSD BF'!$AC$58</f>
        <v>0</v>
      </c>
      <c r="AD24" s="13">
        <f>SUM($AC$24:$AC$24)</f>
        <v>0</v>
      </c>
      <c r="AE24" s="13">
        <f ca="1">$AO$24*$AO$55</f>
        <v>0</v>
      </c>
      <c r="AF24" s="13">
        <f ca="1">$AP$24*$AP$55</f>
        <v>0</v>
      </c>
      <c r="AG24" s="13">
        <f ca="1">SUM($AE$24:$AF$24)</f>
        <v>0</v>
      </c>
      <c r="AH24" s="13">
        <f>'TUSD BE'!$AH$24*'TUSD BF'!$AH$58</f>
        <v>0</v>
      </c>
      <c r="AI24" s="13">
        <f>'TUSD BE'!$AI$24*'TUSD BF'!$AI$58</f>
        <v>0</v>
      </c>
      <c r="AJ24" s="13">
        <f ca="1">'TUSD BE'!$AJ$24*'TUSD BF'!$AJ$58</f>
        <v>0</v>
      </c>
      <c r="AK24" s="13">
        <f ca="1">'TUSD BE'!$AK$24*'TUSD BF'!$AK$58</f>
        <v>0</v>
      </c>
      <c r="AL24" s="13">
        <f ca="1">SUM($AH$24:$AK$24)</f>
        <v>0</v>
      </c>
      <c r="AM24" s="13">
        <f ca="1">SUMIF($L$4:$AL$4,"SUBTOTAL",$L$24:$AL$24)</f>
        <v>0</v>
      </c>
      <c r="AO24" s="20">
        <f ca="1">+'TUSD BE'!$T$24+'TUSD BE'!$AB$24+'TUSD BE'!$AD$24+'TUSD BE'!$AL$24</f>
        <v>651.6600822670348</v>
      </c>
      <c r="AP24" s="20">
        <f ca="1">+'TUSD BE'!$T$24+'TUSD BE'!$AB$24+'TUSD BE'!$AD$24+'TUSD BE'!$AL$24</f>
        <v>651.6600822670348</v>
      </c>
    </row>
    <row r="25" spans="1:42" ht="11.25" customHeight="1" x14ac:dyDescent="0.3">
      <c r="A25" s="92"/>
      <c r="B25" s="92" t="s">
        <v>84</v>
      </c>
      <c r="C25" s="92" t="s">
        <v>24</v>
      </c>
      <c r="D25" s="17" t="s">
        <v>24</v>
      </c>
      <c r="E25" s="17" t="s">
        <v>25</v>
      </c>
      <c r="F25" s="17" t="s">
        <v>25</v>
      </c>
      <c r="G25" s="18" t="s">
        <v>75</v>
      </c>
      <c r="H25" s="18" t="s">
        <v>69</v>
      </c>
      <c r="I25" s="18">
        <f>'MERCADO TUSD'!$U$22</f>
        <v>0</v>
      </c>
      <c r="J25" s="15"/>
      <c r="L25" s="13">
        <f>'TUSD BE'!$L$25*'TUSD BF'!$L$58</f>
        <v>0</v>
      </c>
      <c r="M25" s="13">
        <f>'TUSD BE'!$M$25*'TUSD BF'!$M$58</f>
        <v>0</v>
      </c>
      <c r="N25" s="13">
        <f ca="1">'TUSD BE'!$N$25*'TUSD BF'!$N$58</f>
        <v>0</v>
      </c>
      <c r="O25" s="13">
        <f>'TUSD BE'!$O$25*'TUSD BF'!$O$58</f>
        <v>0</v>
      </c>
      <c r="P25" s="13">
        <f>'TUSD BE'!$P$25*'TUSD BF'!$P$58</f>
        <v>0</v>
      </c>
      <c r="Q25" s="13">
        <f>'TUSD BE'!$Q$25*'TUSD BF'!$Q$58</f>
        <v>0</v>
      </c>
      <c r="R25" s="13">
        <f>'TUSD BE'!$R$25*'TUSD BF'!$R$58</f>
        <v>0</v>
      </c>
      <c r="S25" s="13">
        <f>'TUSD BE'!$R$25*'TUSD BF'!$S$58</f>
        <v>0</v>
      </c>
      <c r="T25" s="13">
        <f ca="1">SUM($L$25:$S$25)</f>
        <v>0</v>
      </c>
      <c r="U25" s="13">
        <f>'TUSD BE'!$U$25*'TUSD BF'!$U$58</f>
        <v>0</v>
      </c>
      <c r="V25" s="13">
        <f>'TUSD BE'!$V$25*'TUSD BF'!$V$58</f>
        <v>0</v>
      </c>
      <c r="W25" s="13">
        <f>'TUSD BE'!$W$25*'TUSD BF'!$W$58</f>
        <v>0</v>
      </c>
      <c r="X25" s="13">
        <f>'TUSD BE'!$X$25*'TUSD BF'!$X$58</f>
        <v>0</v>
      </c>
      <c r="Y25" s="13">
        <f>'TUSD BE'!$Y$25*'TUSD BF'!$Y$58</f>
        <v>0</v>
      </c>
      <c r="Z25" s="13">
        <f>'TUSD BE'!$Z$25*'TUSD BF'!$Z$58</f>
        <v>0</v>
      </c>
      <c r="AA25" s="13">
        <f>'TUSD BE'!$AA$25*'TUSD BF'!$AA$58</f>
        <v>0</v>
      </c>
      <c r="AB25" s="13">
        <f>SUM($U$25:$AA$25)</f>
        <v>0</v>
      </c>
      <c r="AC25" s="13">
        <f>'TUSD BE'!$AC$25*'TUSD BF'!$AC$58</f>
        <v>0</v>
      </c>
      <c r="AD25" s="13">
        <f>SUM($AC$25:$AC$25)</f>
        <v>0</v>
      </c>
      <c r="AE25" s="13">
        <f ca="1">$AO$25*$AO$55</f>
        <v>0</v>
      </c>
      <c r="AF25" s="13">
        <f ca="1">$AP$25*$AP$55</f>
        <v>0</v>
      </c>
      <c r="AG25" s="13">
        <f ca="1">SUM($AE$25:$AF$25)</f>
        <v>0</v>
      </c>
      <c r="AH25" s="13">
        <f>'TUSD BE'!$AH$25*'TUSD BF'!$AH$58</f>
        <v>0</v>
      </c>
      <c r="AI25" s="13">
        <f>'TUSD BE'!$AI$25*'TUSD BF'!$AI$58</f>
        <v>0</v>
      </c>
      <c r="AJ25" s="13">
        <f ca="1">'TUSD BE'!$AJ$25*'TUSD BF'!$AJ$58</f>
        <v>0</v>
      </c>
      <c r="AK25" s="13">
        <f ca="1">'TUSD BE'!$AK$25*'TUSD BF'!$AK$58</f>
        <v>0</v>
      </c>
      <c r="AL25" s="13">
        <f ca="1">SUM($AH$25:$AK$25)</f>
        <v>0</v>
      </c>
      <c r="AM25" s="13">
        <f ca="1">SUMIF($L$4:$AL$4,"SUBTOTAL",$L$25:$AL$25)</f>
        <v>0</v>
      </c>
      <c r="AO25" s="20">
        <f ca="1">+'TUSD BE'!$T$25+'TUSD BE'!$AB$25+'TUSD BE'!$AD$25+'TUSD BE'!$AL$25</f>
        <v>756.32608161848884</v>
      </c>
      <c r="AP25" s="20">
        <f ca="1">+'TUSD BE'!$T$25+'TUSD BE'!$AB$25+'TUSD BE'!$AD$25+'TUSD BE'!$AL$25</f>
        <v>756.32608161848884</v>
      </c>
    </row>
    <row r="26" spans="1:42" ht="11.25" customHeight="1" x14ac:dyDescent="0.3">
      <c r="A26" s="92"/>
      <c r="B26" s="92"/>
      <c r="C26" s="92"/>
      <c r="D26" s="17" t="s">
        <v>29</v>
      </c>
      <c r="E26" s="17" t="s">
        <v>25</v>
      </c>
      <c r="F26" s="17" t="s">
        <v>25</v>
      </c>
      <c r="G26" s="18" t="s">
        <v>75</v>
      </c>
      <c r="H26" s="18" t="s">
        <v>69</v>
      </c>
      <c r="I26" s="18">
        <f>'MERCADO TUSD'!$U$23</f>
        <v>0</v>
      </c>
      <c r="J26" s="15"/>
      <c r="L26" s="13">
        <f>'TUSD BE'!$L$26*'TUSD BF'!$L$58</f>
        <v>0</v>
      </c>
      <c r="M26" s="13">
        <f>'TUSD BE'!$M$26*'TUSD BF'!$M$58</f>
        <v>0</v>
      </c>
      <c r="N26" s="13">
        <f ca="1">'TUSD BE'!$N$26*'TUSD BF'!$N$58</f>
        <v>0</v>
      </c>
      <c r="O26" s="13">
        <f>'TUSD BE'!$O$26*'TUSD BF'!$O$58</f>
        <v>0</v>
      </c>
      <c r="P26" s="13">
        <f>'TUSD BE'!$P$26*'TUSD BF'!$P$58</f>
        <v>0</v>
      </c>
      <c r="Q26" s="13">
        <f>'TUSD BE'!$Q$26*'TUSD BF'!$Q$58</f>
        <v>0</v>
      </c>
      <c r="R26" s="13">
        <f>'TUSD BE'!$R$26*'TUSD BF'!$R$58</f>
        <v>0</v>
      </c>
      <c r="S26" s="13">
        <f>'TUSD BE'!$R$26*'TUSD BF'!$S$58</f>
        <v>0</v>
      </c>
      <c r="T26" s="13">
        <f ca="1">SUM($L$26:$S$26)</f>
        <v>0</v>
      </c>
      <c r="U26" s="13">
        <f>'TUSD BE'!$U$26*'TUSD BF'!$U$58</f>
        <v>0</v>
      </c>
      <c r="V26" s="13">
        <f>'TUSD BE'!$V$26*'TUSD BF'!$V$58</f>
        <v>0</v>
      </c>
      <c r="W26" s="13">
        <f>'TUSD BE'!$W$26*'TUSD BF'!$W$58</f>
        <v>0</v>
      </c>
      <c r="X26" s="13">
        <f>'TUSD BE'!$X$26*'TUSD BF'!$X$58</f>
        <v>0</v>
      </c>
      <c r="Y26" s="13">
        <f>'TUSD BE'!$Y$26*'TUSD BF'!$Y$58</f>
        <v>0</v>
      </c>
      <c r="Z26" s="13">
        <f>'TUSD BE'!$Z$26*'TUSD BF'!$Z$58</f>
        <v>0</v>
      </c>
      <c r="AA26" s="13">
        <f>'TUSD BE'!$AA$26*'TUSD BF'!$AA$58</f>
        <v>0</v>
      </c>
      <c r="AB26" s="13">
        <f>SUM($U$26:$AA$26)</f>
        <v>0</v>
      </c>
      <c r="AC26" s="13">
        <f>'TUSD BE'!$AC$26*'TUSD BF'!$AC$58</f>
        <v>0</v>
      </c>
      <c r="AD26" s="13">
        <f>SUM($AC$26:$AC$26)</f>
        <v>0</v>
      </c>
      <c r="AE26" s="13">
        <f ca="1">$AO$26*$AO$55</f>
        <v>0</v>
      </c>
      <c r="AF26" s="13">
        <f ca="1">$AP$26*$AP$55</f>
        <v>0</v>
      </c>
      <c r="AG26" s="13">
        <f ca="1">SUM($AE$26:$AF$26)</f>
        <v>0</v>
      </c>
      <c r="AH26" s="13">
        <f>'TUSD BE'!$AH$26*'TUSD BF'!$AH$58</f>
        <v>0</v>
      </c>
      <c r="AI26" s="13">
        <f>'TUSD BE'!$AI$26*'TUSD BF'!$AI$58</f>
        <v>0</v>
      </c>
      <c r="AJ26" s="13">
        <f ca="1">'TUSD BE'!$AJ$26*'TUSD BF'!$AJ$58</f>
        <v>0</v>
      </c>
      <c r="AK26" s="13">
        <f ca="1">'TUSD BE'!$AK$26*'TUSD BF'!$AK$58</f>
        <v>0</v>
      </c>
      <c r="AL26" s="13">
        <f ca="1">SUM($AH$26:$AK$26)</f>
        <v>0</v>
      </c>
      <c r="AM26" s="13">
        <f ca="1">SUMIF($L$4:$AL$4,"SUBTOTAL",$L$26:$AL$26)</f>
        <v>0</v>
      </c>
      <c r="AO26" s="20">
        <f ca="1">+'TUSD BE'!$T$26+'TUSD BE'!$AB$26+'TUSD BE'!$AD$26+'TUSD BE'!$AL$26</f>
        <v>651.6600822670348</v>
      </c>
      <c r="AP26" s="20">
        <f ca="1">+'TUSD BE'!$T$26+'TUSD BE'!$AB$26+'TUSD BE'!$AD$26+'TUSD BE'!$AL$26</f>
        <v>651.6600822670348</v>
      </c>
    </row>
    <row r="27" spans="1:42" ht="11.25" customHeight="1" x14ac:dyDescent="0.3">
      <c r="A27" s="92"/>
      <c r="B27" s="92"/>
      <c r="C27" s="92"/>
      <c r="D27" s="17" t="s">
        <v>30</v>
      </c>
      <c r="E27" s="17" t="s">
        <v>25</v>
      </c>
      <c r="F27" s="17" t="s">
        <v>25</v>
      </c>
      <c r="G27" s="18" t="s">
        <v>75</v>
      </c>
      <c r="H27" s="18" t="s">
        <v>69</v>
      </c>
      <c r="I27" s="18">
        <f>'MERCADO TUSD'!$U$24</f>
        <v>0</v>
      </c>
      <c r="J27" s="15"/>
      <c r="L27" s="13">
        <f>'TUSD BE'!$L$27*'TUSD BF'!$L$58</f>
        <v>0</v>
      </c>
      <c r="M27" s="13">
        <f>'TUSD BE'!$M$27*'TUSD BF'!$M$58</f>
        <v>0</v>
      </c>
      <c r="N27" s="13">
        <f ca="1">'TUSD BE'!$N$27*'TUSD BF'!$N$58</f>
        <v>0</v>
      </c>
      <c r="O27" s="13">
        <f>'TUSD BE'!$O$27*'TUSD BF'!$O$58</f>
        <v>0</v>
      </c>
      <c r="P27" s="13">
        <f>'TUSD BE'!$P$27*'TUSD BF'!$P$58</f>
        <v>0</v>
      </c>
      <c r="Q27" s="13">
        <f>'TUSD BE'!$Q$27*'TUSD BF'!$Q$58</f>
        <v>0</v>
      </c>
      <c r="R27" s="13">
        <f>'TUSD BE'!$R$27*'TUSD BF'!$R$58</f>
        <v>0</v>
      </c>
      <c r="S27" s="13">
        <f>'TUSD BE'!$R$27*'TUSD BF'!$S$58</f>
        <v>0</v>
      </c>
      <c r="T27" s="13">
        <f ca="1">SUM($L$27:$S$27)</f>
        <v>0</v>
      </c>
      <c r="U27" s="13">
        <f>'TUSD BE'!$U$27*'TUSD BF'!$U$58</f>
        <v>0</v>
      </c>
      <c r="V27" s="13">
        <f>'TUSD BE'!$V$27*'TUSD BF'!$V$58</f>
        <v>0</v>
      </c>
      <c r="W27" s="13">
        <f>'TUSD BE'!$W$27*'TUSD BF'!$W$58</f>
        <v>0</v>
      </c>
      <c r="X27" s="13">
        <f>'TUSD BE'!$X$27*'TUSD BF'!$X$58</f>
        <v>0</v>
      </c>
      <c r="Y27" s="13">
        <f>'TUSD BE'!$Y$27*'TUSD BF'!$Y$58</f>
        <v>0</v>
      </c>
      <c r="Z27" s="13">
        <f>'TUSD BE'!$Z$27*'TUSD BF'!$Z$58</f>
        <v>0</v>
      </c>
      <c r="AA27" s="13">
        <f>'TUSD BE'!$AA$27*'TUSD BF'!$AA$58</f>
        <v>0</v>
      </c>
      <c r="AB27" s="13">
        <f>SUM($U$27:$AA$27)</f>
        <v>0</v>
      </c>
      <c r="AC27" s="13">
        <f>'TUSD BE'!$AC$27*'TUSD BF'!$AC$58</f>
        <v>0</v>
      </c>
      <c r="AD27" s="13">
        <f>SUM($AC$27:$AC$27)</f>
        <v>0</v>
      </c>
      <c r="AE27" s="13">
        <f ca="1">$AO$27*$AO$55</f>
        <v>0</v>
      </c>
      <c r="AF27" s="13">
        <f ca="1">$AP$27*$AP$55</f>
        <v>0</v>
      </c>
      <c r="AG27" s="13">
        <f ca="1">SUM($AE$27:$AF$27)</f>
        <v>0</v>
      </c>
      <c r="AH27" s="13">
        <f>'TUSD BE'!$AH$27*'TUSD BF'!$AH$58</f>
        <v>0</v>
      </c>
      <c r="AI27" s="13">
        <f>'TUSD BE'!$AI$27*'TUSD BF'!$AI$58</f>
        <v>0</v>
      </c>
      <c r="AJ27" s="13">
        <f ca="1">'TUSD BE'!$AJ$27*'TUSD BF'!$AJ$58</f>
        <v>0</v>
      </c>
      <c r="AK27" s="13">
        <f ca="1">'TUSD BE'!$AK$27*'TUSD BF'!$AK$58</f>
        <v>0</v>
      </c>
      <c r="AL27" s="13">
        <f ca="1">SUM($AH$27:$AK$27)</f>
        <v>0</v>
      </c>
      <c r="AM27" s="13">
        <f ca="1">SUMIF($L$4:$AL$4,"SUBTOTAL",$L$27:$AL$27)</f>
        <v>0</v>
      </c>
      <c r="AO27" s="20">
        <f ca="1">+'TUSD BE'!$T$27+'TUSD BE'!$AB$27+'TUSD BE'!$AD$27+'TUSD BE'!$AL$27</f>
        <v>651.6600822670348</v>
      </c>
      <c r="AP27" s="20">
        <f ca="1">+'TUSD BE'!$T$27+'TUSD BE'!$AB$27+'TUSD BE'!$AD$27+'TUSD BE'!$AL$27</f>
        <v>651.6600822670348</v>
      </c>
    </row>
    <row r="28" spans="1:42" ht="11.25" customHeight="1" x14ac:dyDescent="0.3">
      <c r="A28" s="92"/>
      <c r="B28" s="92"/>
      <c r="C28" s="92"/>
      <c r="D28" s="17" t="s">
        <v>31</v>
      </c>
      <c r="E28" s="17" t="s">
        <v>25</v>
      </c>
      <c r="F28" s="17" t="s">
        <v>25</v>
      </c>
      <c r="G28" s="18" t="s">
        <v>75</v>
      </c>
      <c r="H28" s="18" t="s">
        <v>69</v>
      </c>
      <c r="I28" s="18">
        <f>'MERCADO TUSD'!$U$25</f>
        <v>0</v>
      </c>
      <c r="J28" s="15"/>
      <c r="L28" s="13">
        <f>'TUSD BE'!$L$28*'TUSD BF'!$L$58</f>
        <v>0</v>
      </c>
      <c r="M28" s="13">
        <f>'TUSD BE'!$M$28*'TUSD BF'!$M$58</f>
        <v>0</v>
      </c>
      <c r="N28" s="13">
        <f ca="1">'TUSD BE'!$N$28*'TUSD BF'!$N$58</f>
        <v>0</v>
      </c>
      <c r="O28" s="13">
        <f>'TUSD BE'!$O$28*'TUSD BF'!$O$58</f>
        <v>0</v>
      </c>
      <c r="P28" s="13">
        <f>'TUSD BE'!$P$28*'TUSD BF'!$P$58</f>
        <v>0</v>
      </c>
      <c r="Q28" s="13">
        <f>'TUSD BE'!$Q$28*'TUSD BF'!$Q$58</f>
        <v>0</v>
      </c>
      <c r="R28" s="13">
        <f>'TUSD BE'!$R$28*'TUSD BF'!$R$58</f>
        <v>0</v>
      </c>
      <c r="S28" s="13">
        <f>'TUSD BE'!$R$28*'TUSD BF'!$S$58</f>
        <v>0</v>
      </c>
      <c r="T28" s="13">
        <f ca="1">SUM($L$28:$S$28)</f>
        <v>0</v>
      </c>
      <c r="U28" s="13">
        <f>'TUSD BE'!$U$28*'TUSD BF'!$U$58</f>
        <v>0</v>
      </c>
      <c r="V28" s="13">
        <f>'TUSD BE'!$V$28*'TUSD BF'!$V$58</f>
        <v>0</v>
      </c>
      <c r="W28" s="13">
        <f>'TUSD BE'!$W$28*'TUSD BF'!$W$58</f>
        <v>0</v>
      </c>
      <c r="X28" s="13">
        <f>'TUSD BE'!$X$28*'TUSD BF'!$X$58</f>
        <v>0</v>
      </c>
      <c r="Y28" s="13">
        <f>'TUSD BE'!$Y$28*'TUSD BF'!$Y$58</f>
        <v>0</v>
      </c>
      <c r="Z28" s="13">
        <f>'TUSD BE'!$Z$28*'TUSD BF'!$Z$58</f>
        <v>0</v>
      </c>
      <c r="AA28" s="13">
        <f>'TUSD BE'!$AA$28*'TUSD BF'!$AA$58</f>
        <v>0</v>
      </c>
      <c r="AB28" s="13">
        <f>SUM($U$28:$AA$28)</f>
        <v>0</v>
      </c>
      <c r="AC28" s="13">
        <f>'TUSD BE'!$AC$28*'TUSD BF'!$AC$58</f>
        <v>0</v>
      </c>
      <c r="AD28" s="13">
        <f>SUM($AC$28:$AC$28)</f>
        <v>0</v>
      </c>
      <c r="AE28" s="13">
        <f ca="1">$AO$28*$AO$55</f>
        <v>0</v>
      </c>
      <c r="AF28" s="13">
        <f ca="1">$AP$28*$AP$55</f>
        <v>0</v>
      </c>
      <c r="AG28" s="13">
        <f ca="1">SUM($AE$28:$AF$28)</f>
        <v>0</v>
      </c>
      <c r="AH28" s="13">
        <f>'TUSD BE'!$AH$28*'TUSD BF'!$AH$58</f>
        <v>0</v>
      </c>
      <c r="AI28" s="13">
        <f>'TUSD BE'!$AI$28*'TUSD BF'!$AI$58</f>
        <v>0</v>
      </c>
      <c r="AJ28" s="13">
        <f ca="1">'TUSD BE'!$AJ$28*'TUSD BF'!$AJ$58</f>
        <v>0</v>
      </c>
      <c r="AK28" s="13">
        <f ca="1">'TUSD BE'!$AK$28*'TUSD BF'!$AK$58</f>
        <v>0</v>
      </c>
      <c r="AL28" s="13">
        <f ca="1">SUM($AH$28:$AK$28)</f>
        <v>0</v>
      </c>
      <c r="AM28" s="13">
        <f ca="1">SUMIF($L$4:$AL$4,"SUBTOTAL",$L$28:$AL$28)</f>
        <v>0</v>
      </c>
      <c r="AO28" s="20">
        <f ca="1">+'TUSD BE'!$T$28+'TUSD BE'!$AB$28+'TUSD BE'!$AD$28+'TUSD BE'!$AL$28</f>
        <v>651.6600822670348</v>
      </c>
      <c r="AP28" s="20">
        <f ca="1">+'TUSD BE'!$T$28+'TUSD BE'!$AB$28+'TUSD BE'!$AD$28+'TUSD BE'!$AL$28</f>
        <v>651.6600822670348</v>
      </c>
    </row>
    <row r="29" spans="1:42" ht="11.25" customHeight="1" x14ac:dyDescent="0.3">
      <c r="A29" s="92"/>
      <c r="B29" s="92"/>
      <c r="C29" s="92"/>
      <c r="D29" s="17" t="s">
        <v>32</v>
      </c>
      <c r="E29" s="17" t="s">
        <v>25</v>
      </c>
      <c r="F29" s="17" t="s">
        <v>25</v>
      </c>
      <c r="G29" s="18" t="s">
        <v>75</v>
      </c>
      <c r="H29" s="18" t="s">
        <v>69</v>
      </c>
      <c r="I29" s="18">
        <f>'MERCADO TUSD'!$U$26</f>
        <v>0</v>
      </c>
      <c r="J29" s="15"/>
      <c r="L29" s="13">
        <f>'TUSD BE'!$L$29*'TUSD BF'!$L$58</f>
        <v>0</v>
      </c>
      <c r="M29" s="13">
        <f>'TUSD BE'!$M$29*'TUSD BF'!$M$58</f>
        <v>0</v>
      </c>
      <c r="N29" s="13">
        <f ca="1">'TUSD BE'!$N$29*'TUSD BF'!$N$58</f>
        <v>0</v>
      </c>
      <c r="O29" s="13">
        <f>'TUSD BE'!$O$29*'TUSD BF'!$O$58</f>
        <v>0</v>
      </c>
      <c r="P29" s="13">
        <f>'TUSD BE'!$P$29*'TUSD BF'!$P$58</f>
        <v>0</v>
      </c>
      <c r="Q29" s="13">
        <f>'TUSD BE'!$Q$29*'TUSD BF'!$Q$58</f>
        <v>0</v>
      </c>
      <c r="R29" s="13">
        <f>'TUSD BE'!$R$29*'TUSD BF'!$R$58</f>
        <v>0</v>
      </c>
      <c r="S29" s="13">
        <f>'TUSD BE'!$R$29*'TUSD BF'!$S$58</f>
        <v>0</v>
      </c>
      <c r="T29" s="13">
        <f ca="1">SUM($L$29:$S$29)</f>
        <v>0</v>
      </c>
      <c r="U29" s="13">
        <f>'TUSD BE'!$U$29*'TUSD BF'!$U$58</f>
        <v>0</v>
      </c>
      <c r="V29" s="13">
        <f>'TUSD BE'!$V$29*'TUSD BF'!$V$58</f>
        <v>0</v>
      </c>
      <c r="W29" s="13">
        <f>'TUSD BE'!$W$29*'TUSD BF'!$W$58</f>
        <v>0</v>
      </c>
      <c r="X29" s="13">
        <f>'TUSD BE'!$X$29*'TUSD BF'!$X$58</f>
        <v>0</v>
      </c>
      <c r="Y29" s="13">
        <f>'TUSD BE'!$Y$29*'TUSD BF'!$Y$58</f>
        <v>0</v>
      </c>
      <c r="Z29" s="13">
        <f>'TUSD BE'!$Z$29*'TUSD BF'!$Z$58</f>
        <v>0</v>
      </c>
      <c r="AA29" s="13">
        <f>'TUSD BE'!$AA$29*'TUSD BF'!$AA$58</f>
        <v>0</v>
      </c>
      <c r="AB29" s="13">
        <f>SUM($U$29:$AA$29)</f>
        <v>0</v>
      </c>
      <c r="AC29" s="13">
        <f>'TUSD BE'!$AC$29*'TUSD BF'!$AC$58</f>
        <v>0</v>
      </c>
      <c r="AD29" s="13">
        <f>SUM($AC$29:$AC$29)</f>
        <v>0</v>
      </c>
      <c r="AE29" s="13">
        <f ca="1">$AO$29*$AO$55</f>
        <v>0</v>
      </c>
      <c r="AF29" s="13">
        <f ca="1">$AP$29*$AP$55</f>
        <v>0</v>
      </c>
      <c r="AG29" s="13">
        <f ca="1">SUM($AE$29:$AF$29)</f>
        <v>0</v>
      </c>
      <c r="AH29" s="13">
        <f>'TUSD BE'!$AH$29*'TUSD BF'!$AH$58</f>
        <v>0</v>
      </c>
      <c r="AI29" s="13">
        <f>'TUSD BE'!$AI$29*'TUSD BF'!$AI$58</f>
        <v>0</v>
      </c>
      <c r="AJ29" s="13">
        <f ca="1">'TUSD BE'!$AJ$29*'TUSD BF'!$AJ$58</f>
        <v>0</v>
      </c>
      <c r="AK29" s="13">
        <f ca="1">'TUSD BE'!$AK$29*'TUSD BF'!$AK$58</f>
        <v>0</v>
      </c>
      <c r="AL29" s="13">
        <f ca="1">SUM($AH$29:$AK$29)</f>
        <v>0</v>
      </c>
      <c r="AM29" s="13">
        <f ca="1">SUMIF($L$4:$AL$4,"SUBTOTAL",$L$29:$AL$29)</f>
        <v>0</v>
      </c>
      <c r="AO29" s="20">
        <f ca="1">+'TUSD BE'!$T$29+'TUSD BE'!$AB$29+'TUSD BE'!$AD$29+'TUSD BE'!$AL$29</f>
        <v>651.6600822670348</v>
      </c>
      <c r="AP29" s="20">
        <f ca="1">+'TUSD BE'!$T$29+'TUSD BE'!$AB$29+'TUSD BE'!$AD$29+'TUSD BE'!$AL$29</f>
        <v>651.6600822670348</v>
      </c>
    </row>
    <row r="30" spans="1:42" ht="11.25" customHeight="1" x14ac:dyDescent="0.3">
      <c r="A30" s="92" t="s">
        <v>42</v>
      </c>
      <c r="B30" s="92" t="s">
        <v>39</v>
      </c>
      <c r="C30" s="92" t="s">
        <v>43</v>
      </c>
      <c r="D30" s="92" t="s">
        <v>25</v>
      </c>
      <c r="E30" s="92" t="s">
        <v>25</v>
      </c>
      <c r="F30" s="92" t="s">
        <v>25</v>
      </c>
      <c r="G30" s="18" t="s">
        <v>70</v>
      </c>
      <c r="H30" s="18" t="s">
        <v>69</v>
      </c>
      <c r="I30" s="18">
        <f>'MERCADO TUSD'!$U$27</f>
        <v>0</v>
      </c>
      <c r="J30" s="15"/>
      <c r="L30" s="13">
        <f>'TUSD BE'!$L$30*'TUSD BF'!$L$58</f>
        <v>0</v>
      </c>
      <c r="M30" s="13">
        <f>'TUSD BE'!$M$30*'TUSD BF'!$M$58</f>
        <v>0</v>
      </c>
      <c r="N30" s="13">
        <f ca="1">'TUSD BE'!$N$30*'TUSD BF'!$N$58</f>
        <v>0</v>
      </c>
      <c r="O30" s="13">
        <f>'TUSD BE'!$O$30*'TUSD BF'!$O$58</f>
        <v>0</v>
      </c>
      <c r="P30" s="13">
        <f>'TUSD BE'!$P$30*'TUSD BF'!$P$58</f>
        <v>0</v>
      </c>
      <c r="Q30" s="13">
        <f>'TUSD BE'!$Q$30*'TUSD BF'!$Q$58</f>
        <v>0</v>
      </c>
      <c r="R30" s="13">
        <f>'TUSD BE'!$R$30*'TUSD BF'!$R$58</f>
        <v>0</v>
      </c>
      <c r="S30" s="13">
        <f>'TUSD BE'!$R$30*'TUSD BF'!$S$58</f>
        <v>0</v>
      </c>
      <c r="T30" s="13">
        <f ca="1">SUM($L$30:$S$30)</f>
        <v>0</v>
      </c>
      <c r="U30" s="13">
        <f>'TUSD BE'!$U$30*'TUSD BF'!$U$58</f>
        <v>0</v>
      </c>
      <c r="V30" s="13">
        <f>'TUSD BE'!$V$30*'TUSD BF'!$V$58</f>
        <v>0</v>
      </c>
      <c r="W30" s="13">
        <f>'TUSD BE'!$W$30*'TUSD BF'!$W$58</f>
        <v>0</v>
      </c>
      <c r="X30" s="13">
        <f>'TUSD BE'!$X$30*'TUSD BF'!$X$58</f>
        <v>0</v>
      </c>
      <c r="Y30" s="13">
        <f>'TUSD BE'!$Y$30*'TUSD BF'!$Y$58</f>
        <v>0</v>
      </c>
      <c r="Z30" s="13">
        <f>'TUSD BE'!$Z$30*'TUSD BF'!$Z$58</f>
        <v>0</v>
      </c>
      <c r="AA30" s="13">
        <f>'TUSD BE'!$AA$30*'TUSD BF'!$AA$58</f>
        <v>0</v>
      </c>
      <c r="AB30" s="13">
        <f>SUM($U$30:$AA$30)</f>
        <v>0</v>
      </c>
      <c r="AC30" s="13">
        <f>'TUSD BE'!$AC$30*'TUSD BF'!$AC$58</f>
        <v>0</v>
      </c>
      <c r="AD30" s="13">
        <f>SUM($AC$30:$AC$30)</f>
        <v>0</v>
      </c>
      <c r="AE30" s="13">
        <f ca="1">$AO$30*$AO$55</f>
        <v>0</v>
      </c>
      <c r="AF30" s="13">
        <f ca="1">$AP$30*$AP$55</f>
        <v>0</v>
      </c>
      <c r="AG30" s="13">
        <f ca="1">SUM($AE$30:$AF$30)</f>
        <v>0</v>
      </c>
      <c r="AH30" s="13">
        <f>'TUSD BE'!$AH$30*'TUSD BF'!$AH$58</f>
        <v>0</v>
      </c>
      <c r="AI30" s="13">
        <f>'TUSD BE'!$AI$30*'TUSD BF'!$AI$58</f>
        <v>0</v>
      </c>
      <c r="AJ30" s="13">
        <f ca="1">'TUSD BE'!$AJ$30*'TUSD BF'!$AJ$58</f>
        <v>0</v>
      </c>
      <c r="AK30" s="13">
        <f ca="1">'TUSD BE'!$AK$30*'TUSD BF'!$AK$58</f>
        <v>0</v>
      </c>
      <c r="AL30" s="13">
        <f ca="1">SUM($AH$30:$AK$30)</f>
        <v>0</v>
      </c>
      <c r="AM30" s="13">
        <f ca="1">SUMIF($L$4:$AL$4,"SUBTOTAL",$L$30:$AL$30)</f>
        <v>0</v>
      </c>
      <c r="AO30" s="20">
        <f ca="1">+'TUSD BE'!$T$30+'TUSD BE'!$AB$30+'TUSD BE'!$AD$30+'TUSD BE'!$AL$30</f>
        <v>1980.5613511429631</v>
      </c>
      <c r="AP30" s="20">
        <f ca="1">+'TUSD BE'!$T$30+'TUSD BE'!$AB$30+'TUSD BE'!$AD$30+'TUSD BE'!$AL$30</f>
        <v>1980.5613511429631</v>
      </c>
    </row>
    <row r="31" spans="1:42" ht="11.25" customHeight="1" x14ac:dyDescent="0.3">
      <c r="A31" s="92"/>
      <c r="B31" s="92"/>
      <c r="C31" s="92"/>
      <c r="D31" s="92"/>
      <c r="E31" s="92"/>
      <c r="F31" s="92"/>
      <c r="G31" s="18" t="s">
        <v>81</v>
      </c>
      <c r="H31" s="18" t="s">
        <v>69</v>
      </c>
      <c r="I31" s="18">
        <f>'MERCADO TUSD'!$U$28</f>
        <v>0</v>
      </c>
      <c r="J31" s="15"/>
      <c r="L31" s="13">
        <f>'TUSD BE'!$L$31*'TUSD BF'!$L$58</f>
        <v>0</v>
      </c>
      <c r="M31" s="13">
        <f>'TUSD BE'!$M$31*'TUSD BF'!$M$58</f>
        <v>0</v>
      </c>
      <c r="N31" s="13">
        <f ca="1">'TUSD BE'!$N$31*'TUSD BF'!$N$58</f>
        <v>0</v>
      </c>
      <c r="O31" s="13">
        <f>'TUSD BE'!$O$31*'TUSD BF'!$O$58</f>
        <v>0</v>
      </c>
      <c r="P31" s="13">
        <f>'TUSD BE'!$P$31*'TUSD BF'!$P$58</f>
        <v>0</v>
      </c>
      <c r="Q31" s="13">
        <f>'TUSD BE'!$Q$31*'TUSD BF'!$Q$58</f>
        <v>0</v>
      </c>
      <c r="R31" s="13">
        <f>'TUSD BE'!$R$31*'TUSD BF'!$R$58</f>
        <v>0</v>
      </c>
      <c r="S31" s="13">
        <f>'TUSD BE'!$R$31*'TUSD BF'!$S$58</f>
        <v>0</v>
      </c>
      <c r="T31" s="13">
        <f ca="1">SUM($L$31:$S$31)</f>
        <v>0</v>
      </c>
      <c r="U31" s="13">
        <f>'TUSD BE'!$U$31*'TUSD BF'!$U$58</f>
        <v>0</v>
      </c>
      <c r="V31" s="13">
        <f>'TUSD BE'!$V$31*'TUSD BF'!$V$58</f>
        <v>0</v>
      </c>
      <c r="W31" s="13">
        <f>'TUSD BE'!$W$31*'TUSD BF'!$W$58</f>
        <v>0</v>
      </c>
      <c r="X31" s="13">
        <f>'TUSD BE'!$X$31*'TUSD BF'!$X$58</f>
        <v>0</v>
      </c>
      <c r="Y31" s="13">
        <f>'TUSD BE'!$Y$31*'TUSD BF'!$Y$58</f>
        <v>0</v>
      </c>
      <c r="Z31" s="13">
        <f>'TUSD BE'!$Z$31*'TUSD BF'!$Z$58</f>
        <v>0</v>
      </c>
      <c r="AA31" s="13">
        <f>'TUSD BE'!$AA$31*'TUSD BF'!$AA$58</f>
        <v>0</v>
      </c>
      <c r="AB31" s="13">
        <f>SUM($U$31:$AA$31)</f>
        <v>0</v>
      </c>
      <c r="AC31" s="13">
        <f>'TUSD BE'!$AC$31*'TUSD BF'!$AC$58</f>
        <v>0</v>
      </c>
      <c r="AD31" s="13">
        <f>SUM($AC$31:$AC$31)</f>
        <v>0</v>
      </c>
      <c r="AE31" s="13">
        <f ca="1">$AO$31*$AO$55</f>
        <v>0</v>
      </c>
      <c r="AF31" s="13">
        <f ca="1">$AP$31*$AP$55</f>
        <v>0</v>
      </c>
      <c r="AG31" s="13">
        <f ca="1">SUM($AE$31:$AF$31)</f>
        <v>0</v>
      </c>
      <c r="AH31" s="13">
        <f>'TUSD BE'!$AH$31*'TUSD BF'!$AH$58</f>
        <v>0</v>
      </c>
      <c r="AI31" s="13">
        <f>'TUSD BE'!$AI$31*'TUSD BF'!$AI$58</f>
        <v>0</v>
      </c>
      <c r="AJ31" s="13">
        <f ca="1">'TUSD BE'!$AJ$31*'TUSD BF'!$AJ$58</f>
        <v>0</v>
      </c>
      <c r="AK31" s="13">
        <f ca="1">'TUSD BE'!$AK$31*'TUSD BF'!$AK$58</f>
        <v>0</v>
      </c>
      <c r="AL31" s="13">
        <f ca="1">SUM($AH$31:$AK$31)</f>
        <v>0</v>
      </c>
      <c r="AM31" s="13">
        <f ca="1">SUMIF($L$4:$AL$4,"SUBTOTAL",$L$31:$AL$31)</f>
        <v>0</v>
      </c>
      <c r="AO31" s="20">
        <f ca="1">+'TUSD BE'!$T$31+'TUSD BE'!$AB$31+'TUSD BE'!$AD$31+'TUSD BE'!$AL$31</f>
        <v>1239.6792771723142</v>
      </c>
      <c r="AP31" s="20">
        <f ca="1">+'TUSD BE'!$T$31+'TUSD BE'!$AB$31+'TUSD BE'!$AD$31+'TUSD BE'!$AL$31</f>
        <v>1239.6792771723142</v>
      </c>
    </row>
    <row r="32" spans="1:42" ht="11.25" customHeight="1" x14ac:dyDescent="0.3">
      <c r="A32" s="92"/>
      <c r="B32" s="92"/>
      <c r="C32" s="92"/>
      <c r="D32" s="92"/>
      <c r="E32" s="92"/>
      <c r="F32" s="92"/>
      <c r="G32" s="18" t="s">
        <v>71</v>
      </c>
      <c r="H32" s="18" t="s">
        <v>69</v>
      </c>
      <c r="I32" s="18">
        <f>'MERCADO TUSD'!$U$29</f>
        <v>0</v>
      </c>
      <c r="J32" s="15"/>
      <c r="L32" s="13">
        <f>'TUSD BE'!$L$32*'TUSD BF'!$L$58</f>
        <v>0</v>
      </c>
      <c r="M32" s="13">
        <f>'TUSD BE'!$M$32*'TUSD BF'!$M$58</f>
        <v>0</v>
      </c>
      <c r="N32" s="13">
        <f ca="1">'TUSD BE'!$N$32*'TUSD BF'!$N$58</f>
        <v>0</v>
      </c>
      <c r="O32" s="13">
        <f>'TUSD BE'!$O$32*'TUSD BF'!$O$58</f>
        <v>0</v>
      </c>
      <c r="P32" s="13">
        <f>'TUSD BE'!$P$32*'TUSD BF'!$P$58</f>
        <v>0</v>
      </c>
      <c r="Q32" s="13">
        <f>'TUSD BE'!$Q$32*'TUSD BF'!$Q$58</f>
        <v>0</v>
      </c>
      <c r="R32" s="13">
        <f>'TUSD BE'!$R$32*'TUSD BF'!$R$58</f>
        <v>0</v>
      </c>
      <c r="S32" s="13">
        <f>'TUSD BE'!$R$32*'TUSD BF'!$S$58</f>
        <v>0</v>
      </c>
      <c r="T32" s="13">
        <f ca="1">SUM($L$32:$S$32)</f>
        <v>0</v>
      </c>
      <c r="U32" s="13">
        <f>'TUSD BE'!$U$32*'TUSD BF'!$U$58</f>
        <v>0</v>
      </c>
      <c r="V32" s="13">
        <f>'TUSD BE'!$V$32*'TUSD BF'!$V$58</f>
        <v>0</v>
      </c>
      <c r="W32" s="13">
        <f>'TUSD BE'!$W$32*'TUSD BF'!$W$58</f>
        <v>0</v>
      </c>
      <c r="X32" s="13">
        <f>'TUSD BE'!$X$32*'TUSD BF'!$X$58</f>
        <v>0</v>
      </c>
      <c r="Y32" s="13">
        <f>'TUSD BE'!$Y$32*'TUSD BF'!$Y$58</f>
        <v>0</v>
      </c>
      <c r="Z32" s="13">
        <f>'TUSD BE'!$Z$32*'TUSD BF'!$Z$58</f>
        <v>0</v>
      </c>
      <c r="AA32" s="13">
        <f>'TUSD BE'!$AA$32*'TUSD BF'!$AA$58</f>
        <v>0</v>
      </c>
      <c r="AB32" s="13">
        <f>SUM($U$32:$AA$32)</f>
        <v>0</v>
      </c>
      <c r="AC32" s="13">
        <f>'TUSD BE'!$AC$32*'TUSD BF'!$AC$58</f>
        <v>0</v>
      </c>
      <c r="AD32" s="13">
        <f>SUM($AC$32:$AC$32)</f>
        <v>0</v>
      </c>
      <c r="AE32" s="13">
        <f ca="1">$AO$32*$AO$55</f>
        <v>0</v>
      </c>
      <c r="AF32" s="13">
        <f ca="1">$AP$32*$AP$55</f>
        <v>0</v>
      </c>
      <c r="AG32" s="13">
        <f ca="1">SUM($AE$32:$AF$32)</f>
        <v>0</v>
      </c>
      <c r="AH32" s="13">
        <f>'TUSD BE'!$AH$32*'TUSD BF'!$AH$58</f>
        <v>0</v>
      </c>
      <c r="AI32" s="13">
        <f>'TUSD BE'!$AI$32*'TUSD BF'!$AI$58</f>
        <v>0</v>
      </c>
      <c r="AJ32" s="13">
        <f ca="1">'TUSD BE'!$AJ$32*'TUSD BF'!$AJ$58</f>
        <v>0</v>
      </c>
      <c r="AK32" s="13">
        <f ca="1">'TUSD BE'!$AK$32*'TUSD BF'!$AK$58</f>
        <v>0</v>
      </c>
      <c r="AL32" s="13">
        <f ca="1">SUM($AH$32:$AK$32)</f>
        <v>0</v>
      </c>
      <c r="AM32" s="13">
        <f ca="1">SUMIF($L$4:$AL$4,"SUBTOTAL",$L$32:$AL$32)</f>
        <v>0</v>
      </c>
      <c r="AO32" s="20">
        <f ca="1">+'TUSD BE'!$T$32+'TUSD BE'!$AB$32+'TUSD BE'!$AD$32+'TUSD BE'!$AL$32</f>
        <v>498.92069542053537</v>
      </c>
      <c r="AP32" s="20">
        <f ca="1">+'TUSD BE'!$T$32+'TUSD BE'!$AB$32+'TUSD BE'!$AD$32+'TUSD BE'!$AL$32</f>
        <v>498.92069542053537</v>
      </c>
    </row>
    <row r="33" spans="1:42" ht="11.25" customHeight="1" x14ac:dyDescent="0.3">
      <c r="A33" s="92"/>
      <c r="B33" s="17" t="s">
        <v>23</v>
      </c>
      <c r="C33" s="17" t="s">
        <v>43</v>
      </c>
      <c r="D33" s="17" t="s">
        <v>25</v>
      </c>
      <c r="E33" s="17" t="s">
        <v>25</v>
      </c>
      <c r="F33" s="17" t="s">
        <v>25</v>
      </c>
      <c r="G33" s="18" t="s">
        <v>75</v>
      </c>
      <c r="H33" s="18" t="s">
        <v>69</v>
      </c>
      <c r="I33" s="18">
        <f>'MERCADO TUSD'!$U$30</f>
        <v>3371.0129999999999</v>
      </c>
      <c r="J33" s="15"/>
      <c r="L33" s="13">
        <f>'TUSD BE'!$L$33*'TUSD BF'!$L$58</f>
        <v>0</v>
      </c>
      <c r="M33" s="13">
        <f>'TUSD BE'!$M$33*'TUSD BF'!$M$58</f>
        <v>0</v>
      </c>
      <c r="N33" s="13">
        <f ca="1">'TUSD BE'!$N$33*'TUSD BF'!$N$58</f>
        <v>0</v>
      </c>
      <c r="O33" s="13">
        <f>'TUSD BE'!$O$33*'TUSD BF'!$O$58</f>
        <v>0</v>
      </c>
      <c r="P33" s="13">
        <f>'TUSD BE'!$P$33*'TUSD BF'!$P$58</f>
        <v>0</v>
      </c>
      <c r="Q33" s="13">
        <f>'TUSD BE'!$Q$33*'TUSD BF'!$Q$58</f>
        <v>0</v>
      </c>
      <c r="R33" s="13">
        <f>'TUSD BE'!$R$33*'TUSD BF'!$R$58</f>
        <v>0</v>
      </c>
      <c r="S33" s="13">
        <f>'TUSD BE'!$R$33*'TUSD BF'!$S$58</f>
        <v>0</v>
      </c>
      <c r="T33" s="13">
        <f ca="1">SUM($L$33:$S$33)</f>
        <v>0</v>
      </c>
      <c r="U33" s="13">
        <f>'TUSD BE'!$U$33*'TUSD BF'!$U$58</f>
        <v>0</v>
      </c>
      <c r="V33" s="13">
        <f>'TUSD BE'!$V$33*'TUSD BF'!$V$58</f>
        <v>0</v>
      </c>
      <c r="W33" s="13">
        <f>'TUSD BE'!$W$33*'TUSD BF'!$W$58</f>
        <v>0</v>
      </c>
      <c r="X33" s="13">
        <f>'TUSD BE'!$X$33*'TUSD BF'!$X$58</f>
        <v>0</v>
      </c>
      <c r="Y33" s="13">
        <f>'TUSD BE'!$Y$33*'TUSD BF'!$Y$58</f>
        <v>0</v>
      </c>
      <c r="Z33" s="13">
        <f>'TUSD BE'!$Z$33*'TUSD BF'!$Z$58</f>
        <v>0</v>
      </c>
      <c r="AA33" s="13">
        <f>'TUSD BE'!$AA$33*'TUSD BF'!$AA$58</f>
        <v>0</v>
      </c>
      <c r="AB33" s="13">
        <f>SUM($U$33:$AA$33)</f>
        <v>0</v>
      </c>
      <c r="AC33" s="13">
        <f>'TUSD BE'!$AC$33*'TUSD BF'!$AC$58</f>
        <v>0</v>
      </c>
      <c r="AD33" s="13">
        <f>SUM($AC$33:$AC$33)</f>
        <v>0</v>
      </c>
      <c r="AE33" s="13">
        <f ca="1">$AO$33*$AO$55</f>
        <v>0</v>
      </c>
      <c r="AF33" s="13">
        <f ca="1">$AP$33*$AP$55</f>
        <v>0</v>
      </c>
      <c r="AG33" s="13">
        <f ca="1">SUM($AE$33:$AF$33)</f>
        <v>0</v>
      </c>
      <c r="AH33" s="13">
        <f>'TUSD BE'!$AH$33*'TUSD BF'!$AH$58</f>
        <v>0</v>
      </c>
      <c r="AI33" s="13">
        <f>'TUSD BE'!$AI$33*'TUSD BF'!$AI$58</f>
        <v>0</v>
      </c>
      <c r="AJ33" s="13">
        <f ca="1">'TUSD BE'!$AJ$33*'TUSD BF'!$AJ$58</f>
        <v>0</v>
      </c>
      <c r="AK33" s="13">
        <f ca="1">'TUSD BE'!$AK$33*'TUSD BF'!$AK$58</f>
        <v>0</v>
      </c>
      <c r="AL33" s="13">
        <f ca="1">SUM($AH$33:$AK$33)</f>
        <v>0</v>
      </c>
      <c r="AM33" s="13">
        <f ca="1">SUMIF($L$4:$AL$4,"SUBTOTAL",$L$33:$AL$33)</f>
        <v>0</v>
      </c>
      <c r="AO33" s="20">
        <f ca="1">+'TUSD BE'!$T$33+'TUSD BE'!$AB$33+'TUSD BE'!$AD$33+'TUSD BE'!$AL$33</f>
        <v>756.32608161848884</v>
      </c>
      <c r="AP33" s="20">
        <f ca="1">+'TUSD BE'!$T$33+'TUSD BE'!$AB$33+'TUSD BE'!$AD$33+'TUSD BE'!$AL$33</f>
        <v>756.32608161848884</v>
      </c>
    </row>
    <row r="34" spans="1:42" ht="11.25" customHeight="1" x14ac:dyDescent="0.3">
      <c r="A34" s="92"/>
      <c r="B34" s="92" t="s">
        <v>39</v>
      </c>
      <c r="C34" s="92" t="s">
        <v>43</v>
      </c>
      <c r="D34" s="92" t="s">
        <v>85</v>
      </c>
      <c r="E34" s="92" t="s">
        <v>25</v>
      </c>
      <c r="F34" s="92" t="s">
        <v>25</v>
      </c>
      <c r="G34" s="18" t="s">
        <v>70</v>
      </c>
      <c r="H34" s="18" t="s">
        <v>69</v>
      </c>
      <c r="I34" s="18">
        <f>'MERCADO TUSD'!$U$31</f>
        <v>0</v>
      </c>
      <c r="J34" s="15"/>
      <c r="L34" s="13">
        <f>'TUSD BE'!$L$34*'TUSD BF'!$L$58</f>
        <v>0</v>
      </c>
      <c r="M34" s="13">
        <f>'TUSD BE'!$M$34*'TUSD BF'!$M$58</f>
        <v>0</v>
      </c>
      <c r="N34" s="13">
        <f ca="1">'TUSD BE'!$N$34*'TUSD BF'!$N$58</f>
        <v>0</v>
      </c>
      <c r="O34" s="13">
        <f>'TUSD BE'!$O$34*'TUSD BF'!$O$58</f>
        <v>0</v>
      </c>
      <c r="P34" s="13">
        <f>'TUSD BE'!$P$34*'TUSD BF'!$P$58</f>
        <v>0</v>
      </c>
      <c r="Q34" s="13">
        <f>'TUSD BE'!$Q$34*'TUSD BF'!$Q$58</f>
        <v>0</v>
      </c>
      <c r="R34" s="13">
        <f>'TUSD BE'!$R$34*'TUSD BF'!$R$58</f>
        <v>0</v>
      </c>
      <c r="S34" s="13">
        <f>'TUSD BE'!$R$34*'TUSD BF'!$S$58</f>
        <v>0</v>
      </c>
      <c r="T34" s="13">
        <f ca="1">SUM($L$34:$S$34)</f>
        <v>0</v>
      </c>
      <c r="U34" s="13">
        <f>'TUSD BE'!$U$34*'TUSD BF'!$U$58</f>
        <v>0</v>
      </c>
      <c r="V34" s="13">
        <f>'TUSD BE'!$V$34*'TUSD BF'!$V$58</f>
        <v>0</v>
      </c>
      <c r="W34" s="13">
        <f>'TUSD BE'!$W$34*'TUSD BF'!$W$58</f>
        <v>0</v>
      </c>
      <c r="X34" s="13">
        <f>'TUSD BE'!$X$34*'TUSD BF'!$X$58</f>
        <v>0</v>
      </c>
      <c r="Y34" s="13">
        <f>'TUSD BE'!$Y$34*'TUSD BF'!$Y$58</f>
        <v>0</v>
      </c>
      <c r="Z34" s="13">
        <f>'TUSD BE'!$Z$34*'TUSD BF'!$Z$58</f>
        <v>0</v>
      </c>
      <c r="AA34" s="13">
        <f>'TUSD BE'!$AA$34*'TUSD BF'!$AA$58</f>
        <v>0</v>
      </c>
      <c r="AB34" s="13">
        <f>SUM($U$34:$AA$34)</f>
        <v>0</v>
      </c>
      <c r="AC34" s="13">
        <f>'TUSD BE'!$AC$34*'TUSD BF'!$AC$58</f>
        <v>0</v>
      </c>
      <c r="AD34" s="13">
        <f>SUM($AC$34:$AC$34)</f>
        <v>0</v>
      </c>
      <c r="AE34" s="13">
        <f ca="1">$AO$34*$AO$55</f>
        <v>0</v>
      </c>
      <c r="AF34" s="13">
        <f ca="1">$AP$34*$AP$55</f>
        <v>0</v>
      </c>
      <c r="AG34" s="13">
        <f ca="1">SUM($AE$34:$AF$34)</f>
        <v>0</v>
      </c>
      <c r="AH34" s="13">
        <f>'TUSD BE'!$AH$34*'TUSD BF'!$AH$58</f>
        <v>0</v>
      </c>
      <c r="AI34" s="13">
        <f>'TUSD BE'!$AI$34*'TUSD BF'!$AI$58</f>
        <v>0</v>
      </c>
      <c r="AJ34" s="13">
        <f ca="1">'TUSD BE'!$AJ$34*'TUSD BF'!$AJ$58</f>
        <v>0</v>
      </c>
      <c r="AK34" s="13">
        <f ca="1">'TUSD BE'!$AK$34*'TUSD BF'!$AK$58</f>
        <v>0</v>
      </c>
      <c r="AL34" s="13">
        <f ca="1">SUM($AH$34:$AK$34)</f>
        <v>0</v>
      </c>
      <c r="AM34" s="13">
        <f ca="1">SUMIF($L$4:$AL$4,"SUBTOTAL",$L$34:$AL$34)</f>
        <v>0</v>
      </c>
      <c r="AO34" s="20">
        <f ca="1">+'TUSD BE'!$T$34+'TUSD BE'!$AB$34+'TUSD BE'!$AD$34+'TUSD BE'!$AL$34</f>
        <v>1980.5613511429631</v>
      </c>
      <c r="AP34" s="20">
        <f ca="1">+'TUSD BE'!$T$34+'TUSD BE'!$AB$34+'TUSD BE'!$AD$34+'TUSD BE'!$AL$34</f>
        <v>1980.5613511429631</v>
      </c>
    </row>
    <row r="35" spans="1:42" ht="11.25" customHeight="1" x14ac:dyDescent="0.3">
      <c r="A35" s="92"/>
      <c r="B35" s="92"/>
      <c r="C35" s="92"/>
      <c r="D35" s="92"/>
      <c r="E35" s="92"/>
      <c r="F35" s="92"/>
      <c r="G35" s="18" t="s">
        <v>81</v>
      </c>
      <c r="H35" s="18" t="s">
        <v>69</v>
      </c>
      <c r="I35" s="18">
        <f>'MERCADO TUSD'!$U$32</f>
        <v>0</v>
      </c>
      <c r="J35" s="15"/>
      <c r="L35" s="13">
        <f>'TUSD BE'!$L$35*'TUSD BF'!$L$58</f>
        <v>0</v>
      </c>
      <c r="M35" s="13">
        <f>'TUSD BE'!$M$35*'TUSD BF'!$M$58</f>
        <v>0</v>
      </c>
      <c r="N35" s="13">
        <f ca="1">'TUSD BE'!$N$35*'TUSD BF'!$N$58</f>
        <v>0</v>
      </c>
      <c r="O35" s="13">
        <f>'TUSD BE'!$O$35*'TUSD BF'!$O$58</f>
        <v>0</v>
      </c>
      <c r="P35" s="13">
        <f>'TUSD BE'!$P$35*'TUSD BF'!$P$58</f>
        <v>0</v>
      </c>
      <c r="Q35" s="13">
        <f>'TUSD BE'!$Q$35*'TUSD BF'!$Q$58</f>
        <v>0</v>
      </c>
      <c r="R35" s="13">
        <f>'TUSD BE'!$R$35*'TUSD BF'!$R$58</f>
        <v>0</v>
      </c>
      <c r="S35" s="13">
        <f>'TUSD BE'!$R$35*'TUSD BF'!$S$58</f>
        <v>0</v>
      </c>
      <c r="T35" s="13">
        <f ca="1">SUM($L$35:$S$35)</f>
        <v>0</v>
      </c>
      <c r="U35" s="13">
        <f>'TUSD BE'!$U$35*'TUSD BF'!$U$58</f>
        <v>0</v>
      </c>
      <c r="V35" s="13">
        <f>'TUSD BE'!$V$35*'TUSD BF'!$V$58</f>
        <v>0</v>
      </c>
      <c r="W35" s="13">
        <f>'TUSD BE'!$W$35*'TUSD BF'!$W$58</f>
        <v>0</v>
      </c>
      <c r="X35" s="13">
        <f>'TUSD BE'!$X$35*'TUSD BF'!$X$58</f>
        <v>0</v>
      </c>
      <c r="Y35" s="13">
        <f>'TUSD BE'!$Y$35*'TUSD BF'!$Y$58</f>
        <v>0</v>
      </c>
      <c r="Z35" s="13">
        <f>'TUSD BE'!$Z$35*'TUSD BF'!$Z$58</f>
        <v>0</v>
      </c>
      <c r="AA35" s="13">
        <f>'TUSD BE'!$AA$35*'TUSD BF'!$AA$58</f>
        <v>0</v>
      </c>
      <c r="AB35" s="13">
        <f>SUM($U$35:$AA$35)</f>
        <v>0</v>
      </c>
      <c r="AC35" s="13">
        <f>'TUSD BE'!$AC$35*'TUSD BF'!$AC$58</f>
        <v>0</v>
      </c>
      <c r="AD35" s="13">
        <f>SUM($AC$35:$AC$35)</f>
        <v>0</v>
      </c>
      <c r="AE35" s="13">
        <f ca="1">$AO$35*$AO$55</f>
        <v>0</v>
      </c>
      <c r="AF35" s="13">
        <f ca="1">$AP$35*$AP$55</f>
        <v>0</v>
      </c>
      <c r="AG35" s="13">
        <f ca="1">SUM($AE$35:$AF$35)</f>
        <v>0</v>
      </c>
      <c r="AH35" s="13">
        <f>'TUSD BE'!$AH$35*'TUSD BF'!$AH$58</f>
        <v>0</v>
      </c>
      <c r="AI35" s="13">
        <f>'TUSD BE'!$AI$35*'TUSD BF'!$AI$58</f>
        <v>0</v>
      </c>
      <c r="AJ35" s="13">
        <f ca="1">'TUSD BE'!$AJ$35*'TUSD BF'!$AJ$58</f>
        <v>0</v>
      </c>
      <c r="AK35" s="13">
        <f ca="1">'TUSD BE'!$AK$35*'TUSD BF'!$AK$58</f>
        <v>0</v>
      </c>
      <c r="AL35" s="13">
        <f ca="1">SUM($AH$35:$AK$35)</f>
        <v>0</v>
      </c>
      <c r="AM35" s="13">
        <f ca="1">SUMIF($L$4:$AL$4,"SUBTOTAL",$L$35:$AL$35)</f>
        <v>0</v>
      </c>
      <c r="AO35" s="20">
        <f ca="1">+'TUSD BE'!$T$35+'TUSD BE'!$AB$35+'TUSD BE'!$AD$35+'TUSD BE'!$AL$35</f>
        <v>1239.6792771723142</v>
      </c>
      <c r="AP35" s="20">
        <f ca="1">+'TUSD BE'!$T$35+'TUSD BE'!$AB$35+'TUSD BE'!$AD$35+'TUSD BE'!$AL$35</f>
        <v>1239.6792771723142</v>
      </c>
    </row>
    <row r="36" spans="1:42" ht="11.25" customHeight="1" x14ac:dyDescent="0.3">
      <c r="A36" s="92"/>
      <c r="B36" s="92"/>
      <c r="C36" s="92"/>
      <c r="D36" s="92"/>
      <c r="E36" s="92"/>
      <c r="F36" s="92"/>
      <c r="G36" s="18" t="s">
        <v>71</v>
      </c>
      <c r="H36" s="18" t="s">
        <v>69</v>
      </c>
      <c r="I36" s="18">
        <f>'MERCADO TUSD'!$U$33</f>
        <v>0</v>
      </c>
      <c r="J36" s="15"/>
      <c r="L36" s="13">
        <f>'TUSD BE'!$L$36*'TUSD BF'!$L$58</f>
        <v>0</v>
      </c>
      <c r="M36" s="13">
        <f>'TUSD BE'!$M$36*'TUSD BF'!$M$58</f>
        <v>0</v>
      </c>
      <c r="N36" s="13">
        <f ca="1">'TUSD BE'!$N$36*'TUSD BF'!$N$58</f>
        <v>0</v>
      </c>
      <c r="O36" s="13">
        <f>'TUSD BE'!$O$36*'TUSD BF'!$O$58</f>
        <v>0</v>
      </c>
      <c r="P36" s="13">
        <f>'TUSD BE'!$P$36*'TUSD BF'!$P$58</f>
        <v>0</v>
      </c>
      <c r="Q36" s="13">
        <f>'TUSD BE'!$Q$36*'TUSD BF'!$Q$58</f>
        <v>0</v>
      </c>
      <c r="R36" s="13">
        <f>'TUSD BE'!$R$36*'TUSD BF'!$R$58</f>
        <v>0</v>
      </c>
      <c r="S36" s="13">
        <f>'TUSD BE'!$R$36*'TUSD BF'!$S$58</f>
        <v>0</v>
      </c>
      <c r="T36" s="13">
        <f ca="1">SUM($L$36:$S$36)</f>
        <v>0</v>
      </c>
      <c r="U36" s="13">
        <f>'TUSD BE'!$U$36*'TUSD BF'!$U$58</f>
        <v>0</v>
      </c>
      <c r="V36" s="13">
        <f>'TUSD BE'!$V$36*'TUSD BF'!$V$58</f>
        <v>0</v>
      </c>
      <c r="W36" s="13">
        <f>'TUSD BE'!$W$36*'TUSD BF'!$W$58</f>
        <v>0</v>
      </c>
      <c r="X36" s="13">
        <f>'TUSD BE'!$X$36*'TUSD BF'!$X$58</f>
        <v>0</v>
      </c>
      <c r="Y36" s="13">
        <f>'TUSD BE'!$Y$36*'TUSD BF'!$Y$58</f>
        <v>0</v>
      </c>
      <c r="Z36" s="13">
        <f>'TUSD BE'!$Z$36*'TUSD BF'!$Z$58</f>
        <v>0</v>
      </c>
      <c r="AA36" s="13">
        <f>'TUSD BE'!$AA$36*'TUSD BF'!$AA$58</f>
        <v>0</v>
      </c>
      <c r="AB36" s="13">
        <f>SUM($U$36:$AA$36)</f>
        <v>0</v>
      </c>
      <c r="AC36" s="13">
        <f>'TUSD BE'!$AC$36*'TUSD BF'!$AC$58</f>
        <v>0</v>
      </c>
      <c r="AD36" s="13">
        <f>SUM($AC$36:$AC$36)</f>
        <v>0</v>
      </c>
      <c r="AE36" s="13">
        <f ca="1">$AO$36*$AO$55</f>
        <v>0</v>
      </c>
      <c r="AF36" s="13">
        <f ca="1">$AP$36*$AP$55</f>
        <v>0</v>
      </c>
      <c r="AG36" s="13">
        <f ca="1">SUM($AE$36:$AF$36)</f>
        <v>0</v>
      </c>
      <c r="AH36" s="13">
        <f>'TUSD BE'!$AH$36*'TUSD BF'!$AH$58</f>
        <v>0</v>
      </c>
      <c r="AI36" s="13">
        <f>'TUSD BE'!$AI$36*'TUSD BF'!$AI$58</f>
        <v>0</v>
      </c>
      <c r="AJ36" s="13">
        <f ca="1">'TUSD BE'!$AJ$36*'TUSD BF'!$AJ$58</f>
        <v>0</v>
      </c>
      <c r="AK36" s="13">
        <f ca="1">'TUSD BE'!$AK$36*'TUSD BF'!$AK$58</f>
        <v>0</v>
      </c>
      <c r="AL36" s="13">
        <f ca="1">SUM($AH$36:$AK$36)</f>
        <v>0</v>
      </c>
      <c r="AM36" s="13">
        <f ca="1">SUMIF($L$4:$AL$4,"SUBTOTAL",$L$36:$AL$36)</f>
        <v>0</v>
      </c>
      <c r="AO36" s="20">
        <f ca="1">+'TUSD BE'!$T$36+'TUSD BE'!$AB$36+'TUSD BE'!$AD$36+'TUSD BE'!$AL$36</f>
        <v>498.92069542053537</v>
      </c>
      <c r="AP36" s="20">
        <f ca="1">+'TUSD BE'!$T$36+'TUSD BE'!$AB$36+'TUSD BE'!$AD$36+'TUSD BE'!$AL$36</f>
        <v>498.92069542053537</v>
      </c>
    </row>
    <row r="37" spans="1:42" ht="11.25" customHeight="1" x14ac:dyDescent="0.3">
      <c r="A37" s="92"/>
      <c r="B37" s="17" t="s">
        <v>23</v>
      </c>
      <c r="C37" s="17" t="s">
        <v>43</v>
      </c>
      <c r="D37" s="17" t="s">
        <v>85</v>
      </c>
      <c r="E37" s="17" t="s">
        <v>25</v>
      </c>
      <c r="F37" s="17" t="s">
        <v>25</v>
      </c>
      <c r="G37" s="18" t="s">
        <v>75</v>
      </c>
      <c r="H37" s="18" t="s">
        <v>69</v>
      </c>
      <c r="I37" s="18">
        <f>'MERCADO TUSD'!$U$34</f>
        <v>0</v>
      </c>
      <c r="J37" s="15"/>
      <c r="L37" s="13">
        <f>'TUSD BE'!$L$37*'TUSD BF'!$L$58</f>
        <v>0</v>
      </c>
      <c r="M37" s="13">
        <f>'TUSD BE'!$M$37*'TUSD BF'!$M$58</f>
        <v>0</v>
      </c>
      <c r="N37" s="13">
        <f ca="1">'TUSD BE'!$N$37*'TUSD BF'!$N$58</f>
        <v>0</v>
      </c>
      <c r="O37" s="13">
        <f>'TUSD BE'!$O$37*'TUSD BF'!$O$58</f>
        <v>0</v>
      </c>
      <c r="P37" s="13">
        <f>'TUSD BE'!$P$37*'TUSD BF'!$P$58</f>
        <v>0</v>
      </c>
      <c r="Q37" s="13">
        <f>'TUSD BE'!$Q$37*'TUSD BF'!$Q$58</f>
        <v>0</v>
      </c>
      <c r="R37" s="13">
        <f>'TUSD BE'!$R$37*'TUSD BF'!$R$58</f>
        <v>0</v>
      </c>
      <c r="S37" s="13">
        <f>'TUSD BE'!$R$37*'TUSD BF'!$S$58</f>
        <v>0</v>
      </c>
      <c r="T37" s="13">
        <f ca="1">SUM($L$37:$S$37)</f>
        <v>0</v>
      </c>
      <c r="U37" s="13">
        <f>'TUSD BE'!$U$37*'TUSD BF'!$U$58</f>
        <v>0</v>
      </c>
      <c r="V37" s="13">
        <f>'TUSD BE'!$V$37*'TUSD BF'!$V$58</f>
        <v>0</v>
      </c>
      <c r="W37" s="13">
        <f>'TUSD BE'!$W$37*'TUSD BF'!$W$58</f>
        <v>0</v>
      </c>
      <c r="X37" s="13">
        <f>'TUSD BE'!$X$37*'TUSD BF'!$X$58</f>
        <v>0</v>
      </c>
      <c r="Y37" s="13">
        <f>'TUSD BE'!$Y$37*'TUSD BF'!$Y$58</f>
        <v>0</v>
      </c>
      <c r="Z37" s="13">
        <f>'TUSD BE'!$Z$37*'TUSD BF'!$Z$58</f>
        <v>0</v>
      </c>
      <c r="AA37" s="13">
        <f>'TUSD BE'!$AA$37*'TUSD BF'!$AA$58</f>
        <v>0</v>
      </c>
      <c r="AB37" s="13">
        <f>SUM($U$37:$AA$37)</f>
        <v>0</v>
      </c>
      <c r="AC37" s="13">
        <f>'TUSD BE'!$AC$37*'TUSD BF'!$AC$58</f>
        <v>0</v>
      </c>
      <c r="AD37" s="13">
        <f>SUM($AC$37:$AC$37)</f>
        <v>0</v>
      </c>
      <c r="AE37" s="13">
        <f ca="1">$AO$37*$AO$55</f>
        <v>0</v>
      </c>
      <c r="AF37" s="13">
        <f ca="1">$AP$37*$AP$55</f>
        <v>0</v>
      </c>
      <c r="AG37" s="13">
        <f ca="1">SUM($AE$37:$AF$37)</f>
        <v>0</v>
      </c>
      <c r="AH37" s="13">
        <f>'TUSD BE'!$AH$37*'TUSD BF'!$AH$58</f>
        <v>0</v>
      </c>
      <c r="AI37" s="13">
        <f>'TUSD BE'!$AI$37*'TUSD BF'!$AI$58</f>
        <v>0</v>
      </c>
      <c r="AJ37" s="13">
        <f ca="1">'TUSD BE'!$AJ$37*'TUSD BF'!$AJ$58</f>
        <v>0</v>
      </c>
      <c r="AK37" s="13">
        <f ca="1">'TUSD BE'!$AK$37*'TUSD BF'!$AK$58</f>
        <v>0</v>
      </c>
      <c r="AL37" s="13">
        <f ca="1">SUM($AH$37:$AK$37)</f>
        <v>0</v>
      </c>
      <c r="AM37" s="13">
        <f ca="1">SUMIF($L$4:$AL$4,"SUBTOTAL",$L$37:$AL$37)</f>
        <v>0</v>
      </c>
      <c r="AO37" s="20">
        <f ca="1">+'TUSD BE'!$T$37+'TUSD BE'!$AB$37+'TUSD BE'!$AD$37+'TUSD BE'!$AL$37</f>
        <v>756.32608161848884</v>
      </c>
      <c r="AP37" s="20">
        <f ca="1">+'TUSD BE'!$T$37+'TUSD BE'!$AB$37+'TUSD BE'!$AD$37+'TUSD BE'!$AL$37</f>
        <v>756.32608161848884</v>
      </c>
    </row>
    <row r="38" spans="1:42" ht="11.25" customHeight="1" x14ac:dyDescent="0.3">
      <c r="A38" s="92"/>
      <c r="B38" s="92" t="s">
        <v>39</v>
      </c>
      <c r="C38" s="92" t="s">
        <v>43</v>
      </c>
      <c r="D38" s="92" t="s">
        <v>86</v>
      </c>
      <c r="E38" s="92" t="s">
        <v>25</v>
      </c>
      <c r="F38" s="92" t="s">
        <v>25</v>
      </c>
      <c r="G38" s="18" t="s">
        <v>70</v>
      </c>
      <c r="H38" s="18" t="s">
        <v>69</v>
      </c>
      <c r="I38" s="18">
        <f>'MERCADO TUSD'!$U$35</f>
        <v>0</v>
      </c>
      <c r="J38" s="15"/>
      <c r="L38" s="13">
        <f>'TUSD BE'!$L$38*'TUSD BF'!$L$58</f>
        <v>0</v>
      </c>
      <c r="M38" s="13">
        <f>'TUSD BE'!$M$38*'TUSD BF'!$M$58</f>
        <v>0</v>
      </c>
      <c r="N38" s="13">
        <f ca="1">'TUSD BE'!$N$38*'TUSD BF'!$N$58</f>
        <v>0</v>
      </c>
      <c r="O38" s="13">
        <f>'TUSD BE'!$O$38*'TUSD BF'!$O$58</f>
        <v>0</v>
      </c>
      <c r="P38" s="13">
        <f>'TUSD BE'!$P$38*'TUSD BF'!$P$58</f>
        <v>0</v>
      </c>
      <c r="Q38" s="13">
        <f>'TUSD BE'!$Q$38*'TUSD BF'!$Q$58</f>
        <v>0</v>
      </c>
      <c r="R38" s="13">
        <f>'TUSD BE'!$R$38*'TUSD BF'!$R$58</f>
        <v>0</v>
      </c>
      <c r="S38" s="13">
        <f>'TUSD BE'!$R$38*'TUSD BF'!$S$58</f>
        <v>0</v>
      </c>
      <c r="T38" s="13">
        <f ca="1">SUM($L$38:$S$38)</f>
        <v>0</v>
      </c>
      <c r="U38" s="13">
        <f>'TUSD BE'!$U$38*'TUSD BF'!$U$58</f>
        <v>0</v>
      </c>
      <c r="V38" s="13">
        <f>'TUSD BE'!$V$38*'TUSD BF'!$V$58</f>
        <v>0</v>
      </c>
      <c r="W38" s="13">
        <f>'TUSD BE'!$W$38*'TUSD BF'!$W$58</f>
        <v>0</v>
      </c>
      <c r="X38" s="13">
        <f>'TUSD BE'!$X$38*'TUSD BF'!$X$58</f>
        <v>0</v>
      </c>
      <c r="Y38" s="13">
        <f>'TUSD BE'!$Y$38*'TUSD BF'!$Y$58</f>
        <v>0</v>
      </c>
      <c r="Z38" s="13">
        <f>'TUSD BE'!$Z$38*'TUSD BF'!$Z$58</f>
        <v>0</v>
      </c>
      <c r="AA38" s="13">
        <f>'TUSD BE'!$AA$38*'TUSD BF'!$AA$58</f>
        <v>0</v>
      </c>
      <c r="AB38" s="13">
        <f>SUM($U$38:$AA$38)</f>
        <v>0</v>
      </c>
      <c r="AC38" s="13">
        <f>'TUSD BE'!$AC$38*'TUSD BF'!$AC$58</f>
        <v>0</v>
      </c>
      <c r="AD38" s="13">
        <f>SUM($AC$38:$AC$38)</f>
        <v>0</v>
      </c>
      <c r="AE38" s="13">
        <f ca="1">$AO$38*$AO$55</f>
        <v>0</v>
      </c>
      <c r="AF38" s="13">
        <f ca="1">$AP$38*$AP$55</f>
        <v>0</v>
      </c>
      <c r="AG38" s="13">
        <f ca="1">SUM($AE$38:$AF$38)</f>
        <v>0</v>
      </c>
      <c r="AH38" s="13">
        <f>'TUSD BE'!$AH$38*'TUSD BF'!$AH$58</f>
        <v>0</v>
      </c>
      <c r="AI38" s="13">
        <f>'TUSD BE'!$AI$38*'TUSD BF'!$AI$58</f>
        <v>0</v>
      </c>
      <c r="AJ38" s="13">
        <f ca="1">'TUSD BE'!$AJ$38*'TUSD BF'!$AJ$58</f>
        <v>0</v>
      </c>
      <c r="AK38" s="13">
        <f ca="1">'TUSD BE'!$AK$38*'TUSD BF'!$AK$58</f>
        <v>0</v>
      </c>
      <c r="AL38" s="13">
        <f ca="1">SUM($AH$38:$AK$38)</f>
        <v>0</v>
      </c>
      <c r="AM38" s="13">
        <f ca="1">SUMIF($L$4:$AL$4,"SUBTOTAL",$L$38:$AL$38)</f>
        <v>0</v>
      </c>
      <c r="AO38" s="20">
        <f ca="1">+'TUSD BE'!$T$38+'TUSD BE'!$AB$38+'TUSD BE'!$AD$38+'TUSD BE'!$AL$38</f>
        <v>1980.5613511429631</v>
      </c>
      <c r="AP38" s="20">
        <f ca="1">+'TUSD BE'!$T$38+'TUSD BE'!$AB$38+'TUSD BE'!$AD$38+'TUSD BE'!$AL$38</f>
        <v>1980.5613511429631</v>
      </c>
    </row>
    <row r="39" spans="1:42" ht="11.25" customHeight="1" x14ac:dyDescent="0.3">
      <c r="A39" s="92"/>
      <c r="B39" s="92"/>
      <c r="C39" s="92"/>
      <c r="D39" s="92"/>
      <c r="E39" s="92"/>
      <c r="F39" s="92"/>
      <c r="G39" s="18" t="s">
        <v>81</v>
      </c>
      <c r="H39" s="18" t="s">
        <v>69</v>
      </c>
      <c r="I39" s="18">
        <f>'MERCADO TUSD'!$U$36</f>
        <v>0</v>
      </c>
      <c r="J39" s="15"/>
      <c r="L39" s="13">
        <f>'TUSD BE'!$L$39*'TUSD BF'!$L$58</f>
        <v>0</v>
      </c>
      <c r="M39" s="13">
        <f>'TUSD BE'!$M$39*'TUSD BF'!$M$58</f>
        <v>0</v>
      </c>
      <c r="N39" s="13">
        <f ca="1">'TUSD BE'!$N$39*'TUSD BF'!$N$58</f>
        <v>0</v>
      </c>
      <c r="O39" s="13">
        <f>'TUSD BE'!$O$39*'TUSD BF'!$O$58</f>
        <v>0</v>
      </c>
      <c r="P39" s="13">
        <f>'TUSD BE'!$P$39*'TUSD BF'!$P$58</f>
        <v>0</v>
      </c>
      <c r="Q39" s="13">
        <f>'TUSD BE'!$Q$39*'TUSD BF'!$Q$58</f>
        <v>0</v>
      </c>
      <c r="R39" s="13">
        <f>'TUSD BE'!$R$39*'TUSD BF'!$R$58</f>
        <v>0</v>
      </c>
      <c r="S39" s="13">
        <f>'TUSD BE'!$R$39*'TUSD BF'!$S$58</f>
        <v>0</v>
      </c>
      <c r="T39" s="13">
        <f ca="1">SUM($L$39:$S$39)</f>
        <v>0</v>
      </c>
      <c r="U39" s="13">
        <f>'TUSD BE'!$U$39*'TUSD BF'!$U$58</f>
        <v>0</v>
      </c>
      <c r="V39" s="13">
        <f>'TUSD BE'!$V$39*'TUSD BF'!$V$58</f>
        <v>0</v>
      </c>
      <c r="W39" s="13">
        <f>'TUSD BE'!$W$39*'TUSD BF'!$W$58</f>
        <v>0</v>
      </c>
      <c r="X39" s="13">
        <f>'TUSD BE'!$X$39*'TUSD BF'!$X$58</f>
        <v>0</v>
      </c>
      <c r="Y39" s="13">
        <f>'TUSD BE'!$Y$39*'TUSD BF'!$Y$58</f>
        <v>0</v>
      </c>
      <c r="Z39" s="13">
        <f>'TUSD BE'!$Z$39*'TUSD BF'!$Z$58</f>
        <v>0</v>
      </c>
      <c r="AA39" s="13">
        <f>'TUSD BE'!$AA$39*'TUSD BF'!$AA$58</f>
        <v>0</v>
      </c>
      <c r="AB39" s="13">
        <f>SUM($U$39:$AA$39)</f>
        <v>0</v>
      </c>
      <c r="AC39" s="13">
        <f>'TUSD BE'!$AC$39*'TUSD BF'!$AC$58</f>
        <v>0</v>
      </c>
      <c r="AD39" s="13">
        <f>SUM($AC$39:$AC$39)</f>
        <v>0</v>
      </c>
      <c r="AE39" s="13">
        <f ca="1">$AO$39*$AO$55</f>
        <v>0</v>
      </c>
      <c r="AF39" s="13">
        <f ca="1">$AP$39*$AP$55</f>
        <v>0</v>
      </c>
      <c r="AG39" s="13">
        <f ca="1">SUM($AE$39:$AF$39)</f>
        <v>0</v>
      </c>
      <c r="AH39" s="13">
        <f>'TUSD BE'!$AH$39*'TUSD BF'!$AH$58</f>
        <v>0</v>
      </c>
      <c r="AI39" s="13">
        <f>'TUSD BE'!$AI$39*'TUSD BF'!$AI$58</f>
        <v>0</v>
      </c>
      <c r="AJ39" s="13">
        <f ca="1">'TUSD BE'!$AJ$39*'TUSD BF'!$AJ$58</f>
        <v>0</v>
      </c>
      <c r="AK39" s="13">
        <f ca="1">'TUSD BE'!$AK$39*'TUSD BF'!$AK$58</f>
        <v>0</v>
      </c>
      <c r="AL39" s="13">
        <f ca="1">SUM($AH$39:$AK$39)</f>
        <v>0</v>
      </c>
      <c r="AM39" s="13">
        <f ca="1">SUMIF($L$4:$AL$4,"SUBTOTAL",$L$39:$AL$39)</f>
        <v>0</v>
      </c>
      <c r="AO39" s="20">
        <f ca="1">+'TUSD BE'!$T$39+'TUSD BE'!$AB$39+'TUSD BE'!$AD$39+'TUSD BE'!$AL$39</f>
        <v>1239.6792771723142</v>
      </c>
      <c r="AP39" s="20">
        <f ca="1">+'TUSD BE'!$T$39+'TUSD BE'!$AB$39+'TUSD BE'!$AD$39+'TUSD BE'!$AL$39</f>
        <v>1239.6792771723142</v>
      </c>
    </row>
    <row r="40" spans="1:42" ht="11.25" customHeight="1" x14ac:dyDescent="0.3">
      <c r="A40" s="92"/>
      <c r="B40" s="92"/>
      <c r="C40" s="92"/>
      <c r="D40" s="92"/>
      <c r="E40" s="92"/>
      <c r="F40" s="92"/>
      <c r="G40" s="18" t="s">
        <v>71</v>
      </c>
      <c r="H40" s="18" t="s">
        <v>69</v>
      </c>
      <c r="I40" s="18">
        <f>'MERCADO TUSD'!$U$37</f>
        <v>0</v>
      </c>
      <c r="J40" s="15"/>
      <c r="L40" s="13">
        <f>'TUSD BE'!$L$40*'TUSD BF'!$L$58</f>
        <v>0</v>
      </c>
      <c r="M40" s="13">
        <f>'TUSD BE'!$M$40*'TUSD BF'!$M$58</f>
        <v>0</v>
      </c>
      <c r="N40" s="13">
        <f ca="1">'TUSD BE'!$N$40*'TUSD BF'!$N$58</f>
        <v>0</v>
      </c>
      <c r="O40" s="13">
        <f>'TUSD BE'!$O$40*'TUSD BF'!$O$58</f>
        <v>0</v>
      </c>
      <c r="P40" s="13">
        <f>'TUSD BE'!$P$40*'TUSD BF'!$P$58</f>
        <v>0</v>
      </c>
      <c r="Q40" s="13">
        <f>'TUSD BE'!$Q$40*'TUSD BF'!$Q$58</f>
        <v>0</v>
      </c>
      <c r="R40" s="13">
        <f>'TUSD BE'!$R$40*'TUSD BF'!$R$58</f>
        <v>0</v>
      </c>
      <c r="S40" s="13">
        <f>'TUSD BE'!$R$40*'TUSD BF'!$S$58</f>
        <v>0</v>
      </c>
      <c r="T40" s="13">
        <f ca="1">SUM($L$40:$S$40)</f>
        <v>0</v>
      </c>
      <c r="U40" s="13">
        <f>'TUSD BE'!$U$40*'TUSD BF'!$U$58</f>
        <v>0</v>
      </c>
      <c r="V40" s="13">
        <f>'TUSD BE'!$V$40*'TUSD BF'!$V$58</f>
        <v>0</v>
      </c>
      <c r="W40" s="13">
        <f>'TUSD BE'!$W$40*'TUSD BF'!$W$58</f>
        <v>0</v>
      </c>
      <c r="X40" s="13">
        <f>'TUSD BE'!$X$40*'TUSD BF'!$X$58</f>
        <v>0</v>
      </c>
      <c r="Y40" s="13">
        <f>'TUSD BE'!$Y$40*'TUSD BF'!$Y$58</f>
        <v>0</v>
      </c>
      <c r="Z40" s="13">
        <f>'TUSD BE'!$Z$40*'TUSD BF'!$Z$58</f>
        <v>0</v>
      </c>
      <c r="AA40" s="13">
        <f>'TUSD BE'!$AA$40*'TUSD BF'!$AA$58</f>
        <v>0</v>
      </c>
      <c r="AB40" s="13">
        <f>SUM($U$40:$AA$40)</f>
        <v>0</v>
      </c>
      <c r="AC40" s="13">
        <f>'TUSD BE'!$AC$40*'TUSD BF'!$AC$58</f>
        <v>0</v>
      </c>
      <c r="AD40" s="13">
        <f>SUM($AC$40:$AC$40)</f>
        <v>0</v>
      </c>
      <c r="AE40" s="13">
        <f ca="1">$AO$40*$AO$55</f>
        <v>0</v>
      </c>
      <c r="AF40" s="13">
        <f ca="1">$AP$40*$AP$55</f>
        <v>0</v>
      </c>
      <c r="AG40" s="13">
        <f ca="1">SUM($AE$40:$AF$40)</f>
        <v>0</v>
      </c>
      <c r="AH40" s="13">
        <f>'TUSD BE'!$AH$40*'TUSD BF'!$AH$58</f>
        <v>0</v>
      </c>
      <c r="AI40" s="13">
        <f>'TUSD BE'!$AI$40*'TUSD BF'!$AI$58</f>
        <v>0</v>
      </c>
      <c r="AJ40" s="13">
        <f ca="1">'TUSD BE'!$AJ$40*'TUSD BF'!$AJ$58</f>
        <v>0</v>
      </c>
      <c r="AK40" s="13">
        <f ca="1">'TUSD BE'!$AK$40*'TUSD BF'!$AK$58</f>
        <v>0</v>
      </c>
      <c r="AL40" s="13">
        <f ca="1">SUM($AH$40:$AK$40)</f>
        <v>0</v>
      </c>
      <c r="AM40" s="13">
        <f ca="1">SUMIF($L$4:$AL$4,"SUBTOTAL",$L$40:$AL$40)</f>
        <v>0</v>
      </c>
      <c r="AO40" s="20">
        <f ca="1">+'TUSD BE'!$T$40+'TUSD BE'!$AB$40+'TUSD BE'!$AD$40+'TUSD BE'!$AL$40</f>
        <v>498.92069542053537</v>
      </c>
      <c r="AP40" s="20">
        <f ca="1">+'TUSD BE'!$T$40+'TUSD BE'!$AB$40+'TUSD BE'!$AD$40+'TUSD BE'!$AL$40</f>
        <v>498.92069542053537</v>
      </c>
    </row>
    <row r="41" spans="1:42" ht="11.25" customHeight="1" x14ac:dyDescent="0.3">
      <c r="A41" s="92"/>
      <c r="B41" s="17" t="s">
        <v>23</v>
      </c>
      <c r="C41" s="17" t="s">
        <v>43</v>
      </c>
      <c r="D41" s="17" t="s">
        <v>86</v>
      </c>
      <c r="E41" s="17" t="s">
        <v>25</v>
      </c>
      <c r="F41" s="17" t="s">
        <v>25</v>
      </c>
      <c r="G41" s="18" t="s">
        <v>75</v>
      </c>
      <c r="H41" s="18" t="s">
        <v>69</v>
      </c>
      <c r="I41" s="18">
        <f>'MERCADO TUSD'!$U$38</f>
        <v>0</v>
      </c>
      <c r="J41" s="15"/>
      <c r="L41" s="13">
        <f>'TUSD BE'!$L$41*'TUSD BF'!$L$58</f>
        <v>0</v>
      </c>
      <c r="M41" s="13">
        <f>'TUSD BE'!$M$41*'TUSD BF'!$M$58</f>
        <v>0</v>
      </c>
      <c r="N41" s="13">
        <f ca="1">'TUSD BE'!$N$41*'TUSD BF'!$N$58</f>
        <v>0</v>
      </c>
      <c r="O41" s="13">
        <f>'TUSD BE'!$O$41*'TUSD BF'!$O$58</f>
        <v>0</v>
      </c>
      <c r="P41" s="13">
        <f>'TUSD BE'!$P$41*'TUSD BF'!$P$58</f>
        <v>0</v>
      </c>
      <c r="Q41" s="13">
        <f>'TUSD BE'!$Q$41*'TUSD BF'!$Q$58</f>
        <v>0</v>
      </c>
      <c r="R41" s="13">
        <f>'TUSD BE'!$R$41*'TUSD BF'!$R$58</f>
        <v>0</v>
      </c>
      <c r="S41" s="13">
        <f>'TUSD BE'!$R$41*'TUSD BF'!$S$58</f>
        <v>0</v>
      </c>
      <c r="T41" s="13">
        <f ca="1">SUM($L$41:$S$41)</f>
        <v>0</v>
      </c>
      <c r="U41" s="13">
        <f>'TUSD BE'!$U$41*'TUSD BF'!$U$58</f>
        <v>0</v>
      </c>
      <c r="V41" s="13">
        <f>'TUSD BE'!$V$41*'TUSD BF'!$V$58</f>
        <v>0</v>
      </c>
      <c r="W41" s="13">
        <f>'TUSD BE'!$W$41*'TUSD BF'!$W$58</f>
        <v>0</v>
      </c>
      <c r="X41" s="13">
        <f>'TUSD BE'!$X$41*'TUSD BF'!$X$58</f>
        <v>0</v>
      </c>
      <c r="Y41" s="13">
        <f>'TUSD BE'!$Y$41*'TUSD BF'!$Y$58</f>
        <v>0</v>
      </c>
      <c r="Z41" s="13">
        <f>'TUSD BE'!$Z$41*'TUSD BF'!$Z$58</f>
        <v>0</v>
      </c>
      <c r="AA41" s="13">
        <f>'TUSD BE'!$AA$41*'TUSD BF'!$AA$58</f>
        <v>0</v>
      </c>
      <c r="AB41" s="13">
        <f>SUM($U$41:$AA$41)</f>
        <v>0</v>
      </c>
      <c r="AC41" s="13">
        <f>'TUSD BE'!$AC$41*'TUSD BF'!$AC$58</f>
        <v>0</v>
      </c>
      <c r="AD41" s="13">
        <f>SUM($AC$41:$AC$41)</f>
        <v>0</v>
      </c>
      <c r="AE41" s="13">
        <f ca="1">$AO$41*$AO$55</f>
        <v>0</v>
      </c>
      <c r="AF41" s="13">
        <f ca="1">$AP$41*$AP$55</f>
        <v>0</v>
      </c>
      <c r="AG41" s="13">
        <f ca="1">SUM($AE$41:$AF$41)</f>
        <v>0</v>
      </c>
      <c r="AH41" s="13">
        <f>'TUSD BE'!$AH$41*'TUSD BF'!$AH$58</f>
        <v>0</v>
      </c>
      <c r="AI41" s="13">
        <f>'TUSD BE'!$AI$41*'TUSD BF'!$AI$58</f>
        <v>0</v>
      </c>
      <c r="AJ41" s="13">
        <f ca="1">'TUSD BE'!$AJ$41*'TUSD BF'!$AJ$58</f>
        <v>0</v>
      </c>
      <c r="AK41" s="13">
        <f ca="1">'TUSD BE'!$AK$41*'TUSD BF'!$AK$58</f>
        <v>0</v>
      </c>
      <c r="AL41" s="13">
        <f ca="1">SUM($AH$41:$AK$41)</f>
        <v>0</v>
      </c>
      <c r="AM41" s="13">
        <f ca="1">SUMIF($L$4:$AL$4,"SUBTOTAL",$L$41:$AL$41)</f>
        <v>0</v>
      </c>
      <c r="AO41" s="20">
        <f ca="1">+'TUSD BE'!$T$41+'TUSD BE'!$AB$41+'TUSD BE'!$AD$41+'TUSD BE'!$AL$41</f>
        <v>756.32608161848884</v>
      </c>
      <c r="AP41" s="20">
        <f ca="1">+'TUSD BE'!$T$41+'TUSD BE'!$AB$41+'TUSD BE'!$AD$41+'TUSD BE'!$AL$41</f>
        <v>756.32608161848884</v>
      </c>
    </row>
    <row r="42" spans="1:42" ht="11.25" customHeight="1" x14ac:dyDescent="0.3">
      <c r="A42" s="92"/>
      <c r="B42" s="92" t="s">
        <v>84</v>
      </c>
      <c r="C42" s="92" t="s">
        <v>43</v>
      </c>
      <c r="D42" s="17" t="s">
        <v>25</v>
      </c>
      <c r="E42" s="17" t="s">
        <v>25</v>
      </c>
      <c r="F42" s="17" t="s">
        <v>25</v>
      </c>
      <c r="G42" s="18" t="s">
        <v>75</v>
      </c>
      <c r="H42" s="18" t="s">
        <v>69</v>
      </c>
      <c r="I42" s="18">
        <f>'MERCADO TUSD'!$U$39</f>
        <v>0</v>
      </c>
      <c r="J42" s="15"/>
      <c r="L42" s="13">
        <f>'TUSD BE'!$L$42*'TUSD BF'!$L$58</f>
        <v>0</v>
      </c>
      <c r="M42" s="13">
        <f>'TUSD BE'!$M$42*'TUSD BF'!$M$58</f>
        <v>0</v>
      </c>
      <c r="N42" s="13">
        <f ca="1">'TUSD BE'!$N$42*'TUSD BF'!$N$58</f>
        <v>0</v>
      </c>
      <c r="O42" s="13">
        <f>'TUSD BE'!$O$42*'TUSD BF'!$O$58</f>
        <v>0</v>
      </c>
      <c r="P42" s="13">
        <f>'TUSD BE'!$P$42*'TUSD BF'!$P$58</f>
        <v>0</v>
      </c>
      <c r="Q42" s="13">
        <f>'TUSD BE'!$Q$42*'TUSD BF'!$Q$58</f>
        <v>0</v>
      </c>
      <c r="R42" s="13">
        <f>'TUSD BE'!$R$42*'TUSD BF'!$R$58</f>
        <v>0</v>
      </c>
      <c r="S42" s="13">
        <f>'TUSD BE'!$R$42*'TUSD BF'!$S$58</f>
        <v>0</v>
      </c>
      <c r="T42" s="13">
        <f ca="1">SUM($L$42:$S$42)</f>
        <v>0</v>
      </c>
      <c r="U42" s="13">
        <f>'TUSD BE'!$U$42*'TUSD BF'!$U$58</f>
        <v>0</v>
      </c>
      <c r="V42" s="13">
        <f>'TUSD BE'!$V$42*'TUSD BF'!$V$58</f>
        <v>0</v>
      </c>
      <c r="W42" s="13">
        <f>'TUSD BE'!$W$42*'TUSD BF'!$W$58</f>
        <v>0</v>
      </c>
      <c r="X42" s="13">
        <f>'TUSD BE'!$X$42*'TUSD BF'!$X$58</f>
        <v>0</v>
      </c>
      <c r="Y42" s="13">
        <f>'TUSD BE'!$Y$42*'TUSD BF'!$Y$58</f>
        <v>0</v>
      </c>
      <c r="Z42" s="13">
        <f>'TUSD BE'!$Z$42*'TUSD BF'!$Z$58</f>
        <v>0</v>
      </c>
      <c r="AA42" s="13">
        <f>'TUSD BE'!$AA$42*'TUSD BF'!$AA$58</f>
        <v>0</v>
      </c>
      <c r="AB42" s="13">
        <f>SUM($U$42:$AA$42)</f>
        <v>0</v>
      </c>
      <c r="AC42" s="13">
        <f>'TUSD BE'!$AC$42*'TUSD BF'!$AC$58</f>
        <v>0</v>
      </c>
      <c r="AD42" s="13">
        <f>SUM($AC$42:$AC$42)</f>
        <v>0</v>
      </c>
      <c r="AE42" s="13">
        <f ca="1">$AO$42*$AO$55</f>
        <v>0</v>
      </c>
      <c r="AF42" s="13">
        <f ca="1">$AP$42*$AP$55</f>
        <v>0</v>
      </c>
      <c r="AG42" s="13">
        <f ca="1">SUM($AE$42:$AF$42)</f>
        <v>0</v>
      </c>
      <c r="AH42" s="13">
        <f>'TUSD BE'!$AH$42*'TUSD BF'!$AH$58</f>
        <v>0</v>
      </c>
      <c r="AI42" s="13">
        <f>'TUSD BE'!$AI$42*'TUSD BF'!$AI$58</f>
        <v>0</v>
      </c>
      <c r="AJ42" s="13">
        <f ca="1">'TUSD BE'!$AJ$42*'TUSD BF'!$AJ$58</f>
        <v>0</v>
      </c>
      <c r="AK42" s="13">
        <f ca="1">'TUSD BE'!$AK$42*'TUSD BF'!$AK$58</f>
        <v>0</v>
      </c>
      <c r="AL42" s="13">
        <f ca="1">SUM($AH$42:$AK$42)</f>
        <v>0</v>
      </c>
      <c r="AM42" s="13">
        <f ca="1">SUMIF($L$4:$AL$4,"SUBTOTAL",$L$42:$AL$42)</f>
        <v>0</v>
      </c>
      <c r="AO42" s="20">
        <f ca="1">+'TUSD BE'!$T$42+'TUSD BE'!$AB$42+'TUSD BE'!$AD$42+'TUSD BE'!$AL$42</f>
        <v>756.32608161848884</v>
      </c>
      <c r="AP42" s="20">
        <f ca="1">+'TUSD BE'!$T$42+'TUSD BE'!$AB$42+'TUSD BE'!$AD$42+'TUSD BE'!$AL$42</f>
        <v>756.32608161848884</v>
      </c>
    </row>
    <row r="43" spans="1:42" ht="11.25" customHeight="1" x14ac:dyDescent="0.3">
      <c r="A43" s="92"/>
      <c r="B43" s="92"/>
      <c r="C43" s="92"/>
      <c r="D43" s="17" t="s">
        <v>85</v>
      </c>
      <c r="E43" s="17" t="s">
        <v>25</v>
      </c>
      <c r="F43" s="17" t="s">
        <v>25</v>
      </c>
      <c r="G43" s="18" t="s">
        <v>75</v>
      </c>
      <c r="H43" s="18" t="s">
        <v>69</v>
      </c>
      <c r="I43" s="18">
        <f>'MERCADO TUSD'!$U$40</f>
        <v>0</v>
      </c>
      <c r="J43" s="15"/>
      <c r="L43" s="13">
        <f>'TUSD BE'!$L$43*'TUSD BF'!$L$58</f>
        <v>0</v>
      </c>
      <c r="M43" s="13">
        <f>'TUSD BE'!$M$43*'TUSD BF'!$M$58</f>
        <v>0</v>
      </c>
      <c r="N43" s="13">
        <f ca="1">'TUSD BE'!$N$43*'TUSD BF'!$N$58</f>
        <v>0</v>
      </c>
      <c r="O43" s="13">
        <f>'TUSD BE'!$O$43*'TUSD BF'!$O$58</f>
        <v>0</v>
      </c>
      <c r="P43" s="13">
        <f>'TUSD BE'!$P$43*'TUSD BF'!$P$58</f>
        <v>0</v>
      </c>
      <c r="Q43" s="13">
        <f>'TUSD BE'!$Q$43*'TUSD BF'!$Q$58</f>
        <v>0</v>
      </c>
      <c r="R43" s="13">
        <f>'TUSD BE'!$R$43*'TUSD BF'!$R$58</f>
        <v>0</v>
      </c>
      <c r="S43" s="13">
        <f>'TUSD BE'!$R$43*'TUSD BF'!$S$58</f>
        <v>0</v>
      </c>
      <c r="T43" s="13">
        <f ca="1">SUM($L$43:$S$43)</f>
        <v>0</v>
      </c>
      <c r="U43" s="13">
        <f>'TUSD BE'!$U$43*'TUSD BF'!$U$58</f>
        <v>0</v>
      </c>
      <c r="V43" s="13">
        <f>'TUSD BE'!$V$43*'TUSD BF'!$V$58</f>
        <v>0</v>
      </c>
      <c r="W43" s="13">
        <f>'TUSD BE'!$W$43*'TUSD BF'!$W$58</f>
        <v>0</v>
      </c>
      <c r="X43" s="13">
        <f>'TUSD BE'!$X$43*'TUSD BF'!$X$58</f>
        <v>0</v>
      </c>
      <c r="Y43" s="13">
        <f>'TUSD BE'!$Y$43*'TUSD BF'!$Y$58</f>
        <v>0</v>
      </c>
      <c r="Z43" s="13">
        <f>'TUSD BE'!$Z$43*'TUSD BF'!$Z$58</f>
        <v>0</v>
      </c>
      <c r="AA43" s="13">
        <f>'TUSD BE'!$AA$43*'TUSD BF'!$AA$58</f>
        <v>0</v>
      </c>
      <c r="AB43" s="13">
        <f>SUM($U$43:$AA$43)</f>
        <v>0</v>
      </c>
      <c r="AC43" s="13">
        <f>'TUSD BE'!$AC$43*'TUSD BF'!$AC$58</f>
        <v>0</v>
      </c>
      <c r="AD43" s="13">
        <f>SUM($AC$43:$AC$43)</f>
        <v>0</v>
      </c>
      <c r="AE43" s="13">
        <f ca="1">$AO$43*$AO$55</f>
        <v>0</v>
      </c>
      <c r="AF43" s="13">
        <f ca="1">$AP$43*$AP$55</f>
        <v>0</v>
      </c>
      <c r="AG43" s="13">
        <f ca="1">SUM($AE$43:$AF$43)</f>
        <v>0</v>
      </c>
      <c r="AH43" s="13">
        <f>'TUSD BE'!$AH$43*'TUSD BF'!$AH$58</f>
        <v>0</v>
      </c>
      <c r="AI43" s="13">
        <f>'TUSD BE'!$AI$43*'TUSD BF'!$AI$58</f>
        <v>0</v>
      </c>
      <c r="AJ43" s="13">
        <f ca="1">'TUSD BE'!$AJ$43*'TUSD BF'!$AJ$58</f>
        <v>0</v>
      </c>
      <c r="AK43" s="13">
        <f ca="1">'TUSD BE'!$AK$43*'TUSD BF'!$AK$58</f>
        <v>0</v>
      </c>
      <c r="AL43" s="13">
        <f ca="1">SUM($AH$43:$AK$43)</f>
        <v>0</v>
      </c>
      <c r="AM43" s="13">
        <f ca="1">SUMIF($L$4:$AL$4,"SUBTOTAL",$L$43:$AL$43)</f>
        <v>0</v>
      </c>
      <c r="AO43" s="20">
        <f ca="1">+'TUSD BE'!$T$43+'TUSD BE'!$AB$43+'TUSD BE'!$AD$43+'TUSD BE'!$AL$43</f>
        <v>756.32608161848884</v>
      </c>
      <c r="AP43" s="20">
        <f ca="1">+'TUSD BE'!$T$43+'TUSD BE'!$AB$43+'TUSD BE'!$AD$43+'TUSD BE'!$AL$43</f>
        <v>756.32608161848884</v>
      </c>
    </row>
    <row r="44" spans="1:42" ht="11.25" customHeight="1" x14ac:dyDescent="0.3">
      <c r="A44" s="92"/>
      <c r="B44" s="92"/>
      <c r="C44" s="92"/>
      <c r="D44" s="17" t="s">
        <v>86</v>
      </c>
      <c r="E44" s="17" t="s">
        <v>25</v>
      </c>
      <c r="F44" s="17" t="s">
        <v>25</v>
      </c>
      <c r="G44" s="18" t="s">
        <v>75</v>
      </c>
      <c r="H44" s="18" t="s">
        <v>69</v>
      </c>
      <c r="I44" s="18">
        <f>'MERCADO TUSD'!$U$41</f>
        <v>0</v>
      </c>
      <c r="J44" s="15"/>
      <c r="L44" s="13">
        <f>'TUSD BE'!$L$44*'TUSD BF'!$L$58</f>
        <v>0</v>
      </c>
      <c r="M44" s="13">
        <f>'TUSD BE'!$M$44*'TUSD BF'!$M$58</f>
        <v>0</v>
      </c>
      <c r="N44" s="13">
        <f ca="1">'TUSD BE'!$N$44*'TUSD BF'!$N$58</f>
        <v>0</v>
      </c>
      <c r="O44" s="13">
        <f>'TUSD BE'!$O$44*'TUSD BF'!$O$58</f>
        <v>0</v>
      </c>
      <c r="P44" s="13">
        <f>'TUSD BE'!$P$44*'TUSD BF'!$P$58</f>
        <v>0</v>
      </c>
      <c r="Q44" s="13">
        <f>'TUSD BE'!$Q$44*'TUSD BF'!$Q$58</f>
        <v>0</v>
      </c>
      <c r="R44" s="13">
        <f>'TUSD BE'!$R$44*'TUSD BF'!$R$58</f>
        <v>0</v>
      </c>
      <c r="S44" s="13">
        <f>'TUSD BE'!$R$44*'TUSD BF'!$S$58</f>
        <v>0</v>
      </c>
      <c r="T44" s="13">
        <f ca="1">SUM($L$44:$S$44)</f>
        <v>0</v>
      </c>
      <c r="U44" s="13">
        <f>'TUSD BE'!$U$44*'TUSD BF'!$U$58</f>
        <v>0</v>
      </c>
      <c r="V44" s="13">
        <f>'TUSD BE'!$V$44*'TUSD BF'!$V$58</f>
        <v>0</v>
      </c>
      <c r="W44" s="13">
        <f>'TUSD BE'!$W$44*'TUSD BF'!$W$58</f>
        <v>0</v>
      </c>
      <c r="X44" s="13">
        <f>'TUSD BE'!$X$44*'TUSD BF'!$X$58</f>
        <v>0</v>
      </c>
      <c r="Y44" s="13">
        <f>'TUSD BE'!$Y$44*'TUSD BF'!$Y$58</f>
        <v>0</v>
      </c>
      <c r="Z44" s="13">
        <f>'TUSD BE'!$Z$44*'TUSD BF'!$Z$58</f>
        <v>0</v>
      </c>
      <c r="AA44" s="13">
        <f>'TUSD BE'!$AA$44*'TUSD BF'!$AA$58</f>
        <v>0</v>
      </c>
      <c r="AB44" s="13">
        <f>SUM($U$44:$AA$44)</f>
        <v>0</v>
      </c>
      <c r="AC44" s="13">
        <f>'TUSD BE'!$AC$44*'TUSD BF'!$AC$58</f>
        <v>0</v>
      </c>
      <c r="AD44" s="13">
        <f>SUM($AC$44:$AC$44)</f>
        <v>0</v>
      </c>
      <c r="AE44" s="13">
        <f ca="1">$AO$44*$AO$55</f>
        <v>0</v>
      </c>
      <c r="AF44" s="13">
        <f ca="1">$AP$44*$AP$55</f>
        <v>0</v>
      </c>
      <c r="AG44" s="13">
        <f ca="1">SUM($AE$44:$AF$44)</f>
        <v>0</v>
      </c>
      <c r="AH44" s="13">
        <f>'TUSD BE'!$AH$44*'TUSD BF'!$AH$58</f>
        <v>0</v>
      </c>
      <c r="AI44" s="13">
        <f>'TUSD BE'!$AI$44*'TUSD BF'!$AI$58</f>
        <v>0</v>
      </c>
      <c r="AJ44" s="13">
        <f ca="1">'TUSD BE'!$AJ$44*'TUSD BF'!$AJ$58</f>
        <v>0</v>
      </c>
      <c r="AK44" s="13">
        <f ca="1">'TUSD BE'!$AK$44*'TUSD BF'!$AK$58</f>
        <v>0</v>
      </c>
      <c r="AL44" s="13">
        <f ca="1">SUM($AH$44:$AK$44)</f>
        <v>0</v>
      </c>
      <c r="AM44" s="13">
        <f ca="1">SUMIF($L$4:$AL$4,"SUBTOTAL",$L$44:$AL$44)</f>
        <v>0</v>
      </c>
      <c r="AO44" s="20">
        <f ca="1">+'TUSD BE'!$T$44+'TUSD BE'!$AB$44+'TUSD BE'!$AD$44+'TUSD BE'!$AL$44</f>
        <v>756.32608161848884</v>
      </c>
      <c r="AP44" s="20">
        <f ca="1">+'TUSD BE'!$T$44+'TUSD BE'!$AB$44+'TUSD BE'!$AD$44+'TUSD BE'!$AL$44</f>
        <v>756.32608161848884</v>
      </c>
    </row>
    <row r="45" spans="1:42" ht="11.25" customHeight="1" x14ac:dyDescent="0.3">
      <c r="A45" s="92" t="s">
        <v>33</v>
      </c>
      <c r="B45" s="92" t="s">
        <v>39</v>
      </c>
      <c r="C45" s="92" t="s">
        <v>25</v>
      </c>
      <c r="D45" s="92" t="s">
        <v>25</v>
      </c>
      <c r="E45" s="92" t="s">
        <v>25</v>
      </c>
      <c r="F45" s="92" t="s">
        <v>25</v>
      </c>
      <c r="G45" s="18" t="s">
        <v>70</v>
      </c>
      <c r="H45" s="18" t="s">
        <v>69</v>
      </c>
      <c r="I45" s="18">
        <f>'MERCADO TUSD'!$U$42</f>
        <v>1.0529999999999999</v>
      </c>
      <c r="J45" s="15"/>
      <c r="L45" s="13">
        <f>'TUSD BE'!$L$45*'TUSD BF'!$L$58</f>
        <v>0</v>
      </c>
      <c r="M45" s="13">
        <f>'TUSD BE'!$M$45*'TUSD BF'!$M$58</f>
        <v>0</v>
      </c>
      <c r="N45" s="13">
        <f ca="1">'TUSD BE'!$N$45*'TUSD BF'!$N$58</f>
        <v>0</v>
      </c>
      <c r="O45" s="13">
        <f>'TUSD BE'!$O$45*'TUSD BF'!$O$58</f>
        <v>0</v>
      </c>
      <c r="P45" s="13">
        <f>'TUSD BE'!$P$45*'TUSD BF'!$P$58</f>
        <v>0</v>
      </c>
      <c r="Q45" s="13">
        <f>'TUSD BE'!$Q$45*'TUSD BF'!$Q$58</f>
        <v>0</v>
      </c>
      <c r="R45" s="13">
        <f>'TUSD BE'!$R$45*'TUSD BF'!$R$58</f>
        <v>0</v>
      </c>
      <c r="S45" s="13">
        <f>'TUSD BE'!$R$45*'TUSD BF'!$S$58</f>
        <v>0</v>
      </c>
      <c r="T45" s="13">
        <f ca="1">SUM($L$45:$S$45)</f>
        <v>0</v>
      </c>
      <c r="U45" s="13">
        <f>'TUSD BE'!$U$45*'TUSD BF'!$U$58</f>
        <v>0</v>
      </c>
      <c r="V45" s="13">
        <f>'TUSD BE'!$V$45*'TUSD BF'!$V$58</f>
        <v>0</v>
      </c>
      <c r="W45" s="13">
        <f>'TUSD BE'!$W$45*'TUSD BF'!$W$58</f>
        <v>0</v>
      </c>
      <c r="X45" s="13">
        <f>'TUSD BE'!$X$45*'TUSD BF'!$X$58</f>
        <v>0</v>
      </c>
      <c r="Y45" s="13">
        <f>'TUSD BE'!$Y$45*'TUSD BF'!$Y$58</f>
        <v>0</v>
      </c>
      <c r="Z45" s="13">
        <f>'TUSD BE'!$Z$45*'TUSD BF'!$Z$58</f>
        <v>0</v>
      </c>
      <c r="AA45" s="13">
        <f>'TUSD BE'!$AA$45*'TUSD BF'!$AA$58</f>
        <v>0</v>
      </c>
      <c r="AB45" s="13">
        <f>SUM($U$45:$AA$45)</f>
        <v>0</v>
      </c>
      <c r="AC45" s="13">
        <f>'TUSD BE'!$AC$45*'TUSD BF'!$AC$58</f>
        <v>0</v>
      </c>
      <c r="AD45" s="13">
        <f>SUM($AC$45:$AC$45)</f>
        <v>0</v>
      </c>
      <c r="AE45" s="13">
        <f ca="1">$AO$45*$AO$55</f>
        <v>0</v>
      </c>
      <c r="AF45" s="13">
        <f ca="1">$AP$45*$AP$55</f>
        <v>0</v>
      </c>
      <c r="AG45" s="13">
        <f ca="1">SUM($AE$45:$AF$45)</f>
        <v>0</v>
      </c>
      <c r="AH45" s="13">
        <f>'TUSD BE'!$AH$45*'TUSD BF'!$AH$58</f>
        <v>0</v>
      </c>
      <c r="AI45" s="13">
        <f>'TUSD BE'!$AI$45*'TUSD BF'!$AI$58</f>
        <v>0</v>
      </c>
      <c r="AJ45" s="13">
        <f ca="1">'TUSD BE'!$AJ$45*'TUSD BF'!$AJ$58</f>
        <v>0</v>
      </c>
      <c r="AK45" s="13">
        <f ca="1">'TUSD BE'!$AK$45*'TUSD BF'!$AK$58</f>
        <v>0</v>
      </c>
      <c r="AL45" s="13">
        <f ca="1">SUM($AH$45:$AK$45)</f>
        <v>0</v>
      </c>
      <c r="AM45" s="13">
        <f ca="1">SUMIF($L$4:$AL$4,"SUBTOTAL",$L$45:$AL$45)</f>
        <v>0</v>
      </c>
      <c r="AO45" s="20">
        <f ca="1">+'TUSD BE'!$T$45+'TUSD BE'!$AB$45+'TUSD BE'!$AD$45+'TUSD BE'!$AL$45</f>
        <v>2263.1202155799824</v>
      </c>
      <c r="AP45" s="20">
        <f ca="1">+'TUSD BE'!$T$45+'TUSD BE'!$AB$45+'TUSD BE'!$AD$45+'TUSD BE'!$AL$45</f>
        <v>2263.1202155799824</v>
      </c>
    </row>
    <row r="46" spans="1:42" ht="11.25" customHeight="1" x14ac:dyDescent="0.3">
      <c r="A46" s="92"/>
      <c r="B46" s="92"/>
      <c r="C46" s="92"/>
      <c r="D46" s="92"/>
      <c r="E46" s="92"/>
      <c r="F46" s="92"/>
      <c r="G46" s="18" t="s">
        <v>81</v>
      </c>
      <c r="H46" s="18" t="s">
        <v>69</v>
      </c>
      <c r="I46" s="18">
        <f>'MERCADO TUSD'!$U$43</f>
        <v>2.1969999999999996</v>
      </c>
      <c r="J46" s="15"/>
      <c r="L46" s="13">
        <f>'TUSD BE'!$L$46*'TUSD BF'!$L$58</f>
        <v>0</v>
      </c>
      <c r="M46" s="13">
        <f>'TUSD BE'!$M$46*'TUSD BF'!$M$58</f>
        <v>0</v>
      </c>
      <c r="N46" s="13">
        <f ca="1">'TUSD BE'!$N$46*'TUSD BF'!$N$58</f>
        <v>0</v>
      </c>
      <c r="O46" s="13">
        <f>'TUSD BE'!$O$46*'TUSD BF'!$O$58</f>
        <v>0</v>
      </c>
      <c r="P46" s="13">
        <f>'TUSD BE'!$P$46*'TUSD BF'!$P$58</f>
        <v>0</v>
      </c>
      <c r="Q46" s="13">
        <f>'TUSD BE'!$Q$46*'TUSD BF'!$Q$58</f>
        <v>0</v>
      </c>
      <c r="R46" s="13">
        <f>'TUSD BE'!$R$46*'TUSD BF'!$R$58</f>
        <v>0</v>
      </c>
      <c r="S46" s="13">
        <f>'TUSD BE'!$R$46*'TUSD BF'!$S$58</f>
        <v>0</v>
      </c>
      <c r="T46" s="13">
        <f ca="1">SUM($L$46:$S$46)</f>
        <v>0</v>
      </c>
      <c r="U46" s="13">
        <f>'TUSD BE'!$U$46*'TUSD BF'!$U$58</f>
        <v>0</v>
      </c>
      <c r="V46" s="13">
        <f>'TUSD BE'!$V$46*'TUSD BF'!$V$58</f>
        <v>0</v>
      </c>
      <c r="W46" s="13">
        <f>'TUSD BE'!$W$46*'TUSD BF'!$W$58</f>
        <v>0</v>
      </c>
      <c r="X46" s="13">
        <f>'TUSD BE'!$X$46*'TUSD BF'!$X$58</f>
        <v>0</v>
      </c>
      <c r="Y46" s="13">
        <f>'TUSD BE'!$Y$46*'TUSD BF'!$Y$58</f>
        <v>0</v>
      </c>
      <c r="Z46" s="13">
        <f>'TUSD BE'!$Z$46*'TUSD BF'!$Z$58</f>
        <v>0</v>
      </c>
      <c r="AA46" s="13">
        <f>'TUSD BE'!$AA$46*'TUSD BF'!$AA$58</f>
        <v>0</v>
      </c>
      <c r="AB46" s="13">
        <f>SUM($U$46:$AA$46)</f>
        <v>0</v>
      </c>
      <c r="AC46" s="13">
        <f>'TUSD BE'!$AC$46*'TUSD BF'!$AC$58</f>
        <v>0</v>
      </c>
      <c r="AD46" s="13">
        <f>SUM($AC$46:$AC$46)</f>
        <v>0</v>
      </c>
      <c r="AE46" s="13">
        <f ca="1">$AO$46*$AO$55</f>
        <v>0</v>
      </c>
      <c r="AF46" s="13">
        <f ca="1">$AP$46*$AP$55</f>
        <v>0</v>
      </c>
      <c r="AG46" s="13">
        <f ca="1">SUM($AE$46:$AF$46)</f>
        <v>0</v>
      </c>
      <c r="AH46" s="13">
        <f>'TUSD BE'!$AH$46*'TUSD BF'!$AH$58</f>
        <v>0</v>
      </c>
      <c r="AI46" s="13">
        <f>'TUSD BE'!$AI$46*'TUSD BF'!$AI$58</f>
        <v>0</v>
      </c>
      <c r="AJ46" s="13">
        <f ca="1">'TUSD BE'!$AJ$46*'TUSD BF'!$AJ$58</f>
        <v>0</v>
      </c>
      <c r="AK46" s="13">
        <f ca="1">'TUSD BE'!$AK$46*'TUSD BF'!$AK$58</f>
        <v>0</v>
      </c>
      <c r="AL46" s="13">
        <f ca="1">SUM($AH$46:$AK$46)</f>
        <v>0</v>
      </c>
      <c r="AM46" s="13">
        <f ca="1">SUMIF($L$4:$AL$4,"SUBTOTAL",$L$46:$AL$46)</f>
        <v>0</v>
      </c>
      <c r="AO46" s="20">
        <f ca="1">+'TUSD BE'!$T$46+'TUSD BE'!$AB$46+'TUSD BE'!$AD$46+'TUSD BE'!$AL$46</f>
        <v>1409.2016258210901</v>
      </c>
      <c r="AP46" s="20">
        <f ca="1">+'TUSD BE'!$T$46+'TUSD BE'!$AB$46+'TUSD BE'!$AD$46+'TUSD BE'!$AL$46</f>
        <v>1409.2016258210901</v>
      </c>
    </row>
    <row r="47" spans="1:42" ht="11.25" customHeight="1" x14ac:dyDescent="0.3">
      <c r="A47" s="92"/>
      <c r="B47" s="92"/>
      <c r="C47" s="92"/>
      <c r="D47" s="92"/>
      <c r="E47" s="92"/>
      <c r="F47" s="92"/>
      <c r="G47" s="18" t="s">
        <v>71</v>
      </c>
      <c r="H47" s="18" t="s">
        <v>69</v>
      </c>
      <c r="I47" s="18">
        <f>'MERCADO TUSD'!$U$44</f>
        <v>373.07</v>
      </c>
      <c r="J47" s="15"/>
      <c r="L47" s="13">
        <f>'TUSD BE'!$L$47*'TUSD BF'!$L$58</f>
        <v>0</v>
      </c>
      <c r="M47" s="13">
        <f>'TUSD BE'!$M$47*'TUSD BF'!$M$58</f>
        <v>0</v>
      </c>
      <c r="N47" s="13">
        <f ca="1">'TUSD BE'!$N$47*'TUSD BF'!$N$58</f>
        <v>0</v>
      </c>
      <c r="O47" s="13">
        <f>'TUSD BE'!$O$47*'TUSD BF'!$O$58</f>
        <v>0</v>
      </c>
      <c r="P47" s="13">
        <f>'TUSD BE'!$P$47*'TUSD BF'!$P$58</f>
        <v>0</v>
      </c>
      <c r="Q47" s="13">
        <f>'TUSD BE'!$Q$47*'TUSD BF'!$Q$58</f>
        <v>0</v>
      </c>
      <c r="R47" s="13">
        <f>'TUSD BE'!$R$47*'TUSD BF'!$R$58</f>
        <v>0</v>
      </c>
      <c r="S47" s="13">
        <f>'TUSD BE'!$R$47*'TUSD BF'!$S$58</f>
        <v>0</v>
      </c>
      <c r="T47" s="13">
        <f ca="1">SUM($L$47:$S$47)</f>
        <v>0</v>
      </c>
      <c r="U47" s="13">
        <f>'TUSD BE'!$U$47*'TUSD BF'!$U$58</f>
        <v>0</v>
      </c>
      <c r="V47" s="13">
        <f>'TUSD BE'!$V$47*'TUSD BF'!$V$58</f>
        <v>0</v>
      </c>
      <c r="W47" s="13">
        <f>'TUSD BE'!$W$47*'TUSD BF'!$W$58</f>
        <v>0</v>
      </c>
      <c r="X47" s="13">
        <f>'TUSD BE'!$X$47*'TUSD BF'!$X$58</f>
        <v>0</v>
      </c>
      <c r="Y47" s="13">
        <f>'TUSD BE'!$Y$47*'TUSD BF'!$Y$58</f>
        <v>0</v>
      </c>
      <c r="Z47" s="13">
        <f>'TUSD BE'!$Z$47*'TUSD BF'!$Z$58</f>
        <v>0</v>
      </c>
      <c r="AA47" s="13">
        <f>'TUSD BE'!$AA$47*'TUSD BF'!$AA$58</f>
        <v>0</v>
      </c>
      <c r="AB47" s="13">
        <f>SUM($U$47:$AA$47)</f>
        <v>0</v>
      </c>
      <c r="AC47" s="13">
        <f>'TUSD BE'!$AC$47*'TUSD BF'!$AC$58</f>
        <v>0</v>
      </c>
      <c r="AD47" s="13">
        <f>SUM($AC$47:$AC$47)</f>
        <v>0</v>
      </c>
      <c r="AE47" s="13">
        <f ca="1">$AO$47*$AO$55</f>
        <v>0</v>
      </c>
      <c r="AF47" s="13">
        <f ca="1">$AP$47*$AP$55</f>
        <v>0</v>
      </c>
      <c r="AG47" s="13">
        <f ca="1">SUM($AE$47:$AF$47)</f>
        <v>0</v>
      </c>
      <c r="AH47" s="13">
        <f>'TUSD BE'!$AH$47*'TUSD BF'!$AH$58</f>
        <v>0</v>
      </c>
      <c r="AI47" s="13">
        <f>'TUSD BE'!$AI$47*'TUSD BF'!$AI$58</f>
        <v>0</v>
      </c>
      <c r="AJ47" s="13">
        <f ca="1">'TUSD BE'!$AJ$47*'TUSD BF'!$AJ$58</f>
        <v>0</v>
      </c>
      <c r="AK47" s="13">
        <f ca="1">'TUSD BE'!$AK$47*'TUSD BF'!$AK$58</f>
        <v>0</v>
      </c>
      <c r="AL47" s="13">
        <f ca="1">SUM($AH$47:$AK$47)</f>
        <v>0</v>
      </c>
      <c r="AM47" s="13">
        <f ca="1">SUMIF($L$4:$AL$4,"SUBTOTAL",$L$47:$AL$47)</f>
        <v>0</v>
      </c>
      <c r="AO47" s="20">
        <f ca="1">+'TUSD BE'!$T$47+'TUSD BE'!$AB$47+'TUSD BE'!$AD$47+'TUSD BE'!$AL$47</f>
        <v>555.40805478830748</v>
      </c>
      <c r="AP47" s="20">
        <f ca="1">+'TUSD BE'!$T$47+'TUSD BE'!$AB$47+'TUSD BE'!$AD$47+'TUSD BE'!$AL$47</f>
        <v>555.40805478830748</v>
      </c>
    </row>
    <row r="48" spans="1:42" ht="11.25" customHeight="1" x14ac:dyDescent="0.3">
      <c r="A48" s="92"/>
      <c r="B48" s="17" t="s">
        <v>23</v>
      </c>
      <c r="C48" s="17" t="s">
        <v>25</v>
      </c>
      <c r="D48" s="17" t="s">
        <v>25</v>
      </c>
      <c r="E48" s="17" t="s">
        <v>25</v>
      </c>
      <c r="F48" s="17" t="s">
        <v>25</v>
      </c>
      <c r="G48" s="18" t="s">
        <v>75</v>
      </c>
      <c r="H48" s="18" t="s">
        <v>69</v>
      </c>
      <c r="I48" s="18">
        <f>'MERCADO TUSD'!$U$45</f>
        <v>3199.5530000000003</v>
      </c>
      <c r="J48" s="15"/>
      <c r="L48" s="13">
        <f>'TUSD BE'!$L$48*'TUSD BF'!$L$58</f>
        <v>0</v>
      </c>
      <c r="M48" s="13">
        <f>'TUSD BE'!$M$48*'TUSD BF'!$M$58</f>
        <v>0</v>
      </c>
      <c r="N48" s="13">
        <f ca="1">'TUSD BE'!$N$48*'TUSD BF'!$N$58</f>
        <v>0</v>
      </c>
      <c r="O48" s="13">
        <f>'TUSD BE'!$O$48*'TUSD BF'!$O$58</f>
        <v>0</v>
      </c>
      <c r="P48" s="13">
        <f>'TUSD BE'!$P$48*'TUSD BF'!$P$58</f>
        <v>0</v>
      </c>
      <c r="Q48" s="13">
        <f>'TUSD BE'!$Q$48*'TUSD BF'!$Q$58</f>
        <v>0</v>
      </c>
      <c r="R48" s="13">
        <f>'TUSD BE'!$R$48*'TUSD BF'!$R$58</f>
        <v>0</v>
      </c>
      <c r="S48" s="13">
        <f>'TUSD BE'!$R$48*'TUSD BF'!$S$58</f>
        <v>0</v>
      </c>
      <c r="T48" s="13">
        <f ca="1">SUM($L$48:$S$48)</f>
        <v>0</v>
      </c>
      <c r="U48" s="13">
        <f>'TUSD BE'!$U$48*'TUSD BF'!$U$58</f>
        <v>0</v>
      </c>
      <c r="V48" s="13">
        <f>'TUSD BE'!$V$48*'TUSD BF'!$V$58</f>
        <v>0</v>
      </c>
      <c r="W48" s="13">
        <f>'TUSD BE'!$W$48*'TUSD BF'!$W$58</f>
        <v>0</v>
      </c>
      <c r="X48" s="13">
        <f>'TUSD BE'!$X$48*'TUSD BF'!$X$58</f>
        <v>0</v>
      </c>
      <c r="Y48" s="13">
        <f>'TUSD BE'!$Y$48*'TUSD BF'!$Y$58</f>
        <v>0</v>
      </c>
      <c r="Z48" s="13">
        <f>'TUSD BE'!$Z$48*'TUSD BF'!$Z$58</f>
        <v>0</v>
      </c>
      <c r="AA48" s="13">
        <f>'TUSD BE'!$AA$48*'TUSD BF'!$AA$58</f>
        <v>0</v>
      </c>
      <c r="AB48" s="13">
        <f>SUM($U$48:$AA$48)</f>
        <v>0</v>
      </c>
      <c r="AC48" s="13">
        <f>'TUSD BE'!$AC$48*'TUSD BF'!$AC$58</f>
        <v>0</v>
      </c>
      <c r="AD48" s="13">
        <f>SUM($AC$48:$AC$48)</f>
        <v>0</v>
      </c>
      <c r="AE48" s="13">
        <f ca="1">$AO$48*$AO$55</f>
        <v>0</v>
      </c>
      <c r="AF48" s="13">
        <f ca="1">$AP$48*$AP$55</f>
        <v>0</v>
      </c>
      <c r="AG48" s="13">
        <f ca="1">SUM($AE$48:$AF$48)</f>
        <v>0</v>
      </c>
      <c r="AH48" s="13">
        <f>'TUSD BE'!$AH$48*'TUSD BF'!$AH$58</f>
        <v>0</v>
      </c>
      <c r="AI48" s="13">
        <f>'TUSD BE'!$AI$48*'TUSD BF'!$AI$58</f>
        <v>0</v>
      </c>
      <c r="AJ48" s="13">
        <f ca="1">'TUSD BE'!$AJ$48*'TUSD BF'!$AJ$58</f>
        <v>0</v>
      </c>
      <c r="AK48" s="13">
        <f ca="1">'TUSD BE'!$AK$48*'TUSD BF'!$AK$58</f>
        <v>0</v>
      </c>
      <c r="AL48" s="13">
        <f ca="1">SUM($AH$48:$AK$48)</f>
        <v>0</v>
      </c>
      <c r="AM48" s="13">
        <f ca="1">SUMIF($L$4:$AL$4,"SUBTOTAL",$L$48:$AL$48)</f>
        <v>0</v>
      </c>
      <c r="AO48" s="20">
        <f ca="1">+'TUSD BE'!$T$48+'TUSD BE'!$AB$48+'TUSD BE'!$AD$48+'TUSD BE'!$AL$48</f>
        <v>756.32608161848884</v>
      </c>
      <c r="AP48" s="20">
        <f ca="1">+'TUSD BE'!$T$48+'TUSD BE'!$AB$48+'TUSD BE'!$AD$48+'TUSD BE'!$AL$48</f>
        <v>756.32608161848884</v>
      </c>
    </row>
    <row r="49" spans="1:42" ht="11.25" customHeight="1" x14ac:dyDescent="0.3">
      <c r="A49" s="92"/>
      <c r="B49" s="17" t="s">
        <v>84</v>
      </c>
      <c r="C49" s="17" t="s">
        <v>25</v>
      </c>
      <c r="D49" s="17" t="s">
        <v>25</v>
      </c>
      <c r="E49" s="17" t="s">
        <v>25</v>
      </c>
      <c r="F49" s="17" t="s">
        <v>25</v>
      </c>
      <c r="G49" s="18" t="s">
        <v>75</v>
      </c>
      <c r="H49" s="18" t="s">
        <v>69</v>
      </c>
      <c r="I49" s="18">
        <f>'MERCADO TUSD'!$U$46</f>
        <v>0</v>
      </c>
      <c r="J49" s="15"/>
      <c r="L49" s="13">
        <f>'TUSD BE'!$L$49*'TUSD BF'!$L$58</f>
        <v>0</v>
      </c>
      <c r="M49" s="13">
        <f>'TUSD BE'!$M$49*'TUSD BF'!$M$58</f>
        <v>0</v>
      </c>
      <c r="N49" s="13">
        <f ca="1">'TUSD BE'!$N$49*'TUSD BF'!$N$58</f>
        <v>0</v>
      </c>
      <c r="O49" s="13">
        <f>'TUSD BE'!$O$49*'TUSD BF'!$O$58</f>
        <v>0</v>
      </c>
      <c r="P49" s="13">
        <f>'TUSD BE'!$P$49*'TUSD BF'!$P$58</f>
        <v>0</v>
      </c>
      <c r="Q49" s="13">
        <f>'TUSD BE'!$Q$49*'TUSD BF'!$Q$58</f>
        <v>0</v>
      </c>
      <c r="R49" s="13">
        <f>'TUSD BE'!$R$49*'TUSD BF'!$R$58</f>
        <v>0</v>
      </c>
      <c r="S49" s="13">
        <f>'TUSD BE'!$R$49*'TUSD BF'!$S$58</f>
        <v>0</v>
      </c>
      <c r="T49" s="13">
        <f ca="1">SUM($L$49:$S$49)</f>
        <v>0</v>
      </c>
      <c r="U49" s="13">
        <f>'TUSD BE'!$U$49*'TUSD BF'!$U$58</f>
        <v>0</v>
      </c>
      <c r="V49" s="13">
        <f>'TUSD BE'!$V$49*'TUSD BF'!$V$58</f>
        <v>0</v>
      </c>
      <c r="W49" s="13">
        <f>'TUSD BE'!$W$49*'TUSD BF'!$W$58</f>
        <v>0</v>
      </c>
      <c r="X49" s="13">
        <f>'TUSD BE'!$X$49*'TUSD BF'!$X$58</f>
        <v>0</v>
      </c>
      <c r="Y49" s="13">
        <f>'TUSD BE'!$Y$49*'TUSD BF'!$Y$58</f>
        <v>0</v>
      </c>
      <c r="Z49" s="13">
        <f>'TUSD BE'!$Z$49*'TUSD BF'!$Z$58</f>
        <v>0</v>
      </c>
      <c r="AA49" s="13">
        <f>'TUSD BE'!$AA$49*'TUSD BF'!$AA$58</f>
        <v>0</v>
      </c>
      <c r="AB49" s="13">
        <f>SUM($U$49:$AA$49)</f>
        <v>0</v>
      </c>
      <c r="AC49" s="13">
        <f>'TUSD BE'!$AC$49*'TUSD BF'!$AC$58</f>
        <v>0</v>
      </c>
      <c r="AD49" s="13">
        <f>SUM($AC$49:$AC$49)</f>
        <v>0</v>
      </c>
      <c r="AE49" s="13">
        <f ca="1">$AO$49*$AO$55</f>
        <v>0</v>
      </c>
      <c r="AF49" s="13">
        <f ca="1">$AP$49*$AP$55</f>
        <v>0</v>
      </c>
      <c r="AG49" s="13">
        <f ca="1">SUM($AE$49:$AF$49)</f>
        <v>0</v>
      </c>
      <c r="AH49" s="13">
        <f>'TUSD BE'!$AH$49*'TUSD BF'!$AH$58</f>
        <v>0</v>
      </c>
      <c r="AI49" s="13">
        <f>'TUSD BE'!$AI$49*'TUSD BF'!$AI$58</f>
        <v>0</v>
      </c>
      <c r="AJ49" s="13">
        <f ca="1">'TUSD BE'!$AJ$49*'TUSD BF'!$AJ$58</f>
        <v>0</v>
      </c>
      <c r="AK49" s="13">
        <f ca="1">'TUSD BE'!$AK$49*'TUSD BF'!$AK$58</f>
        <v>0</v>
      </c>
      <c r="AL49" s="13">
        <f ca="1">SUM($AH$49:$AK$49)</f>
        <v>0</v>
      </c>
      <c r="AM49" s="13">
        <f ca="1">SUMIF($L$4:$AL$4,"SUBTOTAL",$L$49:$AL$49)</f>
        <v>0</v>
      </c>
      <c r="AO49" s="20">
        <f ca="1">+'TUSD BE'!$T$49+'TUSD BE'!$AB$49+'TUSD BE'!$AD$49+'TUSD BE'!$AL$49</f>
        <v>756.32608161848884</v>
      </c>
      <c r="AP49" s="20">
        <f ca="1">+'TUSD BE'!$T$49+'TUSD BE'!$AB$49+'TUSD BE'!$AD$49+'TUSD BE'!$AL$49</f>
        <v>756.32608161848884</v>
      </c>
    </row>
    <row r="50" spans="1:42" ht="11.25" customHeight="1" x14ac:dyDescent="0.3">
      <c r="A50" s="92" t="s">
        <v>45</v>
      </c>
      <c r="B50" s="92" t="s">
        <v>23</v>
      </c>
      <c r="C50" s="92" t="s">
        <v>46</v>
      </c>
      <c r="D50" s="17" t="s">
        <v>47</v>
      </c>
      <c r="E50" s="17" t="s">
        <v>25</v>
      </c>
      <c r="F50" s="17" t="s">
        <v>25</v>
      </c>
      <c r="G50" s="18" t="s">
        <v>75</v>
      </c>
      <c r="H50" s="18" t="s">
        <v>69</v>
      </c>
      <c r="I50" s="18">
        <f>'MERCADO TUSD'!$U$47</f>
        <v>1010.7439999999999</v>
      </c>
      <c r="J50" s="15"/>
      <c r="L50" s="13">
        <f>'TUSD BE'!$L$50*'TUSD BF'!$L$58</f>
        <v>0</v>
      </c>
      <c r="M50" s="13">
        <f>'TUSD BE'!$M$50*'TUSD BF'!$M$58</f>
        <v>0</v>
      </c>
      <c r="N50" s="13">
        <f ca="1">'TUSD BE'!$N$50*'TUSD BF'!$N$58</f>
        <v>0</v>
      </c>
      <c r="O50" s="13">
        <f>'TUSD BE'!$O$50*'TUSD BF'!$O$58</f>
        <v>0</v>
      </c>
      <c r="P50" s="13">
        <f>'TUSD BE'!$P$50*'TUSD BF'!$P$58</f>
        <v>0</v>
      </c>
      <c r="Q50" s="13">
        <f>'TUSD BE'!$Q$50*'TUSD BF'!$Q$58</f>
        <v>0</v>
      </c>
      <c r="R50" s="13">
        <f>'TUSD BE'!$R$50*'TUSD BF'!$R$58</f>
        <v>0</v>
      </c>
      <c r="S50" s="13">
        <f>'TUSD BE'!$R$50*'TUSD BF'!$S$58</f>
        <v>0</v>
      </c>
      <c r="T50" s="13">
        <f ca="1">SUM($L$50:$S$50)</f>
        <v>0</v>
      </c>
      <c r="U50" s="13">
        <f>'TUSD BE'!$U$50*'TUSD BF'!$U$58</f>
        <v>0</v>
      </c>
      <c r="V50" s="13">
        <f>'TUSD BE'!$V$50*'TUSD BF'!$V$58</f>
        <v>0</v>
      </c>
      <c r="W50" s="13">
        <f>'TUSD BE'!$W$50*'TUSD BF'!$W$58</f>
        <v>0</v>
      </c>
      <c r="X50" s="13">
        <f>'TUSD BE'!$X$50*'TUSD BF'!$X$58</f>
        <v>0</v>
      </c>
      <c r="Y50" s="13">
        <f>'TUSD BE'!$Y$50*'TUSD BF'!$Y$58</f>
        <v>0</v>
      </c>
      <c r="Z50" s="13">
        <f>'TUSD BE'!$Z$50*'TUSD BF'!$Z$58</f>
        <v>0</v>
      </c>
      <c r="AA50" s="13">
        <f>'TUSD BE'!$AA$50*'TUSD BF'!$AA$58</f>
        <v>0</v>
      </c>
      <c r="AB50" s="13">
        <f>SUM($U$50:$AA$50)</f>
        <v>0</v>
      </c>
      <c r="AC50" s="13">
        <f>'TUSD BE'!$AC$50*'TUSD BF'!$AC$58</f>
        <v>0</v>
      </c>
      <c r="AD50" s="13">
        <f>SUM($AC$50:$AC$50)</f>
        <v>0</v>
      </c>
      <c r="AE50" s="13">
        <f ca="1">$AO$50*$AO$55</f>
        <v>0</v>
      </c>
      <c r="AF50" s="13">
        <f ca="1">$AP$50*$AP$55</f>
        <v>0</v>
      </c>
      <c r="AG50" s="13">
        <f ca="1">SUM($AE$50:$AF$50)</f>
        <v>0</v>
      </c>
      <c r="AH50" s="13">
        <f>'TUSD BE'!$AH$50*'TUSD BF'!$AH$58</f>
        <v>0</v>
      </c>
      <c r="AI50" s="13">
        <f>'TUSD BE'!$AI$50*'TUSD BF'!$AI$58</f>
        <v>0</v>
      </c>
      <c r="AJ50" s="13">
        <f ca="1">'TUSD BE'!$AJ$50*'TUSD BF'!$AJ$58</f>
        <v>0</v>
      </c>
      <c r="AK50" s="13">
        <f ca="1">'TUSD BE'!$AK$50*'TUSD BF'!$AK$58</f>
        <v>0</v>
      </c>
      <c r="AL50" s="13">
        <f ca="1">SUM($AH$50:$AK$50)</f>
        <v>0</v>
      </c>
      <c r="AM50" s="13">
        <f ca="1">SUMIF($L$4:$AL$4,"SUBTOTAL",$L$50:$AL$50)</f>
        <v>0</v>
      </c>
      <c r="AO50" s="20">
        <f ca="1">+'TUSD BE'!$T$50+'TUSD BE'!$AB$50+'TUSD BE'!$AD$50+'TUSD BE'!$AL$50</f>
        <v>415.97934489016893</v>
      </c>
      <c r="AP50" s="20">
        <f ca="1">+'TUSD BE'!$T$50+'TUSD BE'!$AB$50+'TUSD BE'!$AD$50+'TUSD BE'!$AL$50</f>
        <v>415.97934489016893</v>
      </c>
    </row>
    <row r="51" spans="1:42" ht="11.25" customHeight="1" x14ac:dyDescent="0.3">
      <c r="A51" s="92"/>
      <c r="B51" s="92"/>
      <c r="C51" s="92"/>
      <c r="D51" s="18" t="s">
        <v>87</v>
      </c>
      <c r="E51" s="18" t="s">
        <v>25</v>
      </c>
      <c r="F51" s="18" t="s">
        <v>25</v>
      </c>
      <c r="G51" s="18" t="s">
        <v>75</v>
      </c>
      <c r="H51" s="18" t="s">
        <v>69</v>
      </c>
      <c r="I51" s="18">
        <f>'MERCADO TUSD'!$U$48</f>
        <v>0</v>
      </c>
      <c r="J51" s="15"/>
      <c r="L51" s="13">
        <f>'TUSD BE'!$L$51*'TUSD BF'!$L$58</f>
        <v>0</v>
      </c>
      <c r="M51" s="13">
        <f>'TUSD BE'!$M$51*'TUSD BF'!$M$58</f>
        <v>0</v>
      </c>
      <c r="N51" s="13">
        <f ca="1">'TUSD BE'!$N$51*'TUSD BF'!$N$58</f>
        <v>0</v>
      </c>
      <c r="O51" s="13">
        <f>'TUSD BE'!$O$51*'TUSD BF'!$O$58</f>
        <v>0</v>
      </c>
      <c r="P51" s="13">
        <f>'TUSD BE'!$P$51*'TUSD BF'!$P$58</f>
        <v>0</v>
      </c>
      <c r="Q51" s="13">
        <f>'TUSD BE'!$Q$51*'TUSD BF'!$Q$58</f>
        <v>0</v>
      </c>
      <c r="R51" s="13">
        <f>'TUSD BE'!$R$51*'TUSD BF'!$R$58</f>
        <v>0</v>
      </c>
      <c r="S51" s="13">
        <f>'TUSD BE'!$R$51*'TUSD BF'!$S$58</f>
        <v>0</v>
      </c>
      <c r="T51" s="13">
        <f ca="1">SUM($L$51:$S$51)</f>
        <v>0</v>
      </c>
      <c r="U51" s="13">
        <f>'TUSD BE'!$U$51*'TUSD BF'!$U$58</f>
        <v>0</v>
      </c>
      <c r="V51" s="13">
        <f>'TUSD BE'!$V$51*'TUSD BF'!$V$58</f>
        <v>0</v>
      </c>
      <c r="W51" s="13">
        <f>'TUSD BE'!$W$51*'TUSD BF'!$W$58</f>
        <v>0</v>
      </c>
      <c r="X51" s="13">
        <f>'TUSD BE'!$X$51*'TUSD BF'!$X$58</f>
        <v>0</v>
      </c>
      <c r="Y51" s="13">
        <f>'TUSD BE'!$Y$51*'TUSD BF'!$Y$58</f>
        <v>0</v>
      </c>
      <c r="Z51" s="13">
        <f>'TUSD BE'!$Z$51*'TUSD BF'!$Z$58</f>
        <v>0</v>
      </c>
      <c r="AA51" s="13">
        <f>'TUSD BE'!$AA$51*'TUSD BF'!$AA$58</f>
        <v>0</v>
      </c>
      <c r="AB51" s="13">
        <f>SUM($U$51:$AA$51)</f>
        <v>0</v>
      </c>
      <c r="AC51" s="13">
        <f>'TUSD BE'!$AC$51*'TUSD BF'!$AC$58</f>
        <v>0</v>
      </c>
      <c r="AD51" s="13">
        <f>SUM($AC$51:$AC$51)</f>
        <v>0</v>
      </c>
      <c r="AE51" s="13">
        <f ca="1">$AO$51*$AO$55</f>
        <v>0</v>
      </c>
      <c r="AF51" s="13">
        <f ca="1">$AP$51*$AP$55</f>
        <v>0</v>
      </c>
      <c r="AG51" s="13">
        <f ca="1">SUM($AE$51:$AF$51)</f>
        <v>0</v>
      </c>
      <c r="AH51" s="13">
        <f>'TUSD BE'!$AH$51*'TUSD BF'!$AH$58</f>
        <v>0</v>
      </c>
      <c r="AI51" s="13">
        <f>'TUSD BE'!$AI$51*'TUSD BF'!$AI$58</f>
        <v>0</v>
      </c>
      <c r="AJ51" s="13">
        <f ca="1">'TUSD BE'!$AJ$51*'TUSD BF'!$AJ$58</f>
        <v>0</v>
      </c>
      <c r="AK51" s="13">
        <f ca="1">'TUSD BE'!$AK$51*'TUSD BF'!$AK$58</f>
        <v>0</v>
      </c>
      <c r="AL51" s="13">
        <f ca="1">SUM($AH$51:$AK$51)</f>
        <v>0</v>
      </c>
      <c r="AM51" s="13">
        <f ca="1">SUMIF($L$4:$AL$4,"SUBTOTAL",$L$51:$AL$51)</f>
        <v>0</v>
      </c>
      <c r="AO51" s="20">
        <f ca="1">+'TUSD BE'!$T$51+'TUSD BE'!$AB$51+'TUSD BE'!$AD$51+'TUSD BE'!$AL$51</f>
        <v>453.79564897109333</v>
      </c>
      <c r="AP51" s="20">
        <f ca="1">+'TUSD BE'!$T$51+'TUSD BE'!$AB$51+'TUSD BE'!$AD$51+'TUSD BE'!$AL$51</f>
        <v>453.79564897109333</v>
      </c>
    </row>
    <row r="53" spans="1:42" ht="11.25" customHeight="1" x14ac:dyDescent="0.3">
      <c r="K53" s="16" t="s">
        <v>533</v>
      </c>
      <c r="L53" s="13">
        <f>SUMPRODUCT($I$5:$I51,$L$5:$L51)</f>
        <v>0</v>
      </c>
      <c r="M53" s="13">
        <f>SUMPRODUCT($I$5:$I51,$M$5:$M51)</f>
        <v>0</v>
      </c>
      <c r="N53" s="13">
        <f ca="1">SUMPRODUCT($I$5:$I51,$N$5:$N51)</f>
        <v>0</v>
      </c>
      <c r="O53" s="13">
        <f>SUMPRODUCT($I$5:$I51,$O$5:$O51)</f>
        <v>0</v>
      </c>
      <c r="P53" s="13">
        <f>SUMPRODUCT($I$5:$I51,$P$5:$P51)</f>
        <v>0</v>
      </c>
      <c r="Q53" s="13">
        <f>SUMPRODUCT($I$5:$I51,$Q$5:$Q51)</f>
        <v>0</v>
      </c>
      <c r="R53" s="13">
        <f>SUMPRODUCT($I$5:$I51,$R$5:$R51)</f>
        <v>0</v>
      </c>
      <c r="S53" s="13">
        <f>SUMPRODUCT($I$5:$I51,$S$5:$S51)</f>
        <v>0</v>
      </c>
      <c r="T53" s="13">
        <f ca="1">SUMPRODUCT($I$5:$I51,$T$5:$T51)</f>
        <v>0</v>
      </c>
      <c r="U53" s="13">
        <f>SUMPRODUCT($I$5:$I51,$U$5:$U51)</f>
        <v>0</v>
      </c>
      <c r="V53" s="13">
        <f>SUMPRODUCT($I$5:$I51,$V$5:$V51)</f>
        <v>0</v>
      </c>
      <c r="W53" s="13">
        <f>SUMPRODUCT($I$5:$I51,$W$5:$W51)</f>
        <v>0</v>
      </c>
      <c r="X53" s="13">
        <f>SUMPRODUCT($I$5:$I51,$X$5:$X51)</f>
        <v>0</v>
      </c>
      <c r="Y53" s="13">
        <f>SUMPRODUCT($I$5:$I51,$Y$5:$Y51)</f>
        <v>0</v>
      </c>
      <c r="Z53" s="13">
        <f>SUMPRODUCT($I$5:$I51,$Z$5:$Z51)</f>
        <v>0</v>
      </c>
      <c r="AA53" s="13">
        <f>SUMPRODUCT($I$5:$I51,$AA$5:$AA51)</f>
        <v>0</v>
      </c>
      <c r="AB53" s="13">
        <f>SUMPRODUCT($I$5:$I51,$AB$5:$AB51)</f>
        <v>0</v>
      </c>
      <c r="AC53" s="13">
        <f>SUMPRODUCT($I$5:$I51,$AC$5:$AC51)</f>
        <v>0</v>
      </c>
      <c r="AD53" s="13">
        <f>SUMPRODUCT($I$5:$I51,$AD$5:$AD51)</f>
        <v>0</v>
      </c>
      <c r="AE53" s="13">
        <f ca="1">SUMPRODUCT($I$5:$I51,$AE$5:$AE51)</f>
        <v>0</v>
      </c>
      <c r="AF53" s="13">
        <f ca="1">SUMPRODUCT($I$5:$I51,$AF$5:$AF51)</f>
        <v>0</v>
      </c>
      <c r="AG53" s="13">
        <f ca="1">SUMPRODUCT($I$5:$I51,$AG$5:$AG51)</f>
        <v>0</v>
      </c>
      <c r="AH53" s="13">
        <f>SUMPRODUCT($I$5:$I51,$AH$5:$AH51)</f>
        <v>0</v>
      </c>
      <c r="AI53" s="13">
        <f>SUMPRODUCT($I$5:$I51,$AI$5:$AI51)</f>
        <v>0</v>
      </c>
      <c r="AJ53" s="13">
        <f ca="1">SUMPRODUCT($I$5:$I51,$AJ$5:$AJ51)</f>
        <v>0</v>
      </c>
      <c r="AK53" s="13">
        <f ca="1">SUMPRODUCT($I$5:$I51,$AK$5:$AK51)</f>
        <v>0</v>
      </c>
      <c r="AL53" s="13">
        <f ca="1">SUMPRODUCT($I$5:$I51,$AL$5:$AL51)</f>
        <v>0</v>
      </c>
      <c r="AM53" s="13">
        <f ca="1">SUMPRODUCT($I$5:$I51,$AM$5:$AM51)</f>
        <v>0</v>
      </c>
      <c r="AO53" s="18">
        <f ca="1">SUMPRODUCT($I$5:$I51,$AO$5:$AO51)</f>
        <v>24099655.661250062</v>
      </c>
      <c r="AP53" s="18">
        <f ca="1">SUMPRODUCT($I$5:$I51,$AP$5:$AP51)</f>
        <v>24099655.661250062</v>
      </c>
    </row>
    <row r="54" spans="1:42" ht="11.25" customHeight="1" x14ac:dyDescent="0.3">
      <c r="K54" s="16" t="s">
        <v>465</v>
      </c>
      <c r="L54" s="13">
        <f>'TR TUSD'!$L$56</f>
        <v>0</v>
      </c>
      <c r="M54" s="13">
        <f>'TR TUSD'!$M$56</f>
        <v>60318.578824742086</v>
      </c>
      <c r="N54" s="13">
        <f>'TR TUSD'!$N$56</f>
        <v>0</v>
      </c>
      <c r="O54" s="13">
        <f>'TR TUSD'!$O$56</f>
        <v>0</v>
      </c>
      <c r="P54" s="13">
        <f>'TR TUSD'!$P$56</f>
        <v>0</v>
      </c>
      <c r="Q54" s="13">
        <f>'TR TUSD'!$Q$56</f>
        <v>3547574.1107399999</v>
      </c>
      <c r="R54" s="13">
        <f>'TR TUSD'!$R$56</f>
        <v>628596.9297000001</v>
      </c>
      <c r="S54" s="13">
        <f>'TR TUSD'!$S$56</f>
        <v>0</v>
      </c>
      <c r="T54" s="13">
        <f>'TR TUSD'!$T$56</f>
        <v>4236489.6192647424</v>
      </c>
      <c r="U54" s="13">
        <f>'TR TUSD'!$U$56</f>
        <v>0</v>
      </c>
      <c r="V54" s="13">
        <f>'TR TUSD'!$V$56</f>
        <v>0</v>
      </c>
      <c r="W54" s="13">
        <f>'TR TUSD'!$W$56</f>
        <v>0</v>
      </c>
      <c r="X54" s="13">
        <f>'TR TUSD'!$X$56</f>
        <v>0</v>
      </c>
      <c r="Y54" s="13">
        <f>'TR TUSD'!$Y$56</f>
        <v>4882651.6637400007</v>
      </c>
      <c r="Z54" s="13">
        <f>'TR TUSD'!$Z$56</f>
        <v>0</v>
      </c>
      <c r="AA54" s="13">
        <f>'TR TUSD'!$AA$56</f>
        <v>0</v>
      </c>
      <c r="AB54" s="13">
        <f>'TR TUSD'!$AB$56</f>
        <v>4882651.6637400007</v>
      </c>
      <c r="AC54" s="13">
        <f>'TR TUSD'!$AC$56</f>
        <v>14343053.986877607</v>
      </c>
      <c r="AD54" s="13">
        <f>'TR TUSD'!$AD$56</f>
        <v>14343053.986877607</v>
      </c>
      <c r="AE54" s="13">
        <f>'TR TUSD'!$AE$56</f>
        <v>0</v>
      </c>
      <c r="AF54" s="13">
        <f>'TR TUSD'!$AF$56</f>
        <v>0</v>
      </c>
      <c r="AG54" s="13">
        <f>'TR TUSD'!$AG$56</f>
        <v>0</v>
      </c>
      <c r="AH54" s="13">
        <f>'TR TUSD'!$AH$56</f>
        <v>637460.39136771404</v>
      </c>
      <c r="AI54" s="13">
        <f>'TR TUSD'!$AI$56</f>
        <v>0</v>
      </c>
      <c r="AJ54" s="13">
        <f>'TR TUSD'!$AJ$56</f>
        <v>0</v>
      </c>
      <c r="AK54" s="13">
        <f>'TR TUSD'!$AK$56</f>
        <v>0</v>
      </c>
      <c r="AL54" s="13">
        <f>'TR TUSD'!$AL$56</f>
        <v>637460.39136771404</v>
      </c>
      <c r="AM54" s="13">
        <f>CUSTOS!$D$29</f>
        <v>24099655.661250066</v>
      </c>
      <c r="AO54" s="18">
        <f>$AE$56</f>
        <v>0</v>
      </c>
      <c r="AP54" s="18">
        <f>$AF$56</f>
        <v>0</v>
      </c>
    </row>
    <row r="55" spans="1:42" ht="11.25" customHeight="1" x14ac:dyDescent="0.3">
      <c r="K55" s="16" t="s">
        <v>466</v>
      </c>
      <c r="L55" s="13">
        <f>CUSTOS!$E$2</f>
        <v>0</v>
      </c>
      <c r="M55" s="13">
        <f>CUSTOS!$E$3</f>
        <v>-631.8579431823332</v>
      </c>
      <c r="N55" s="13">
        <f>CUSTOS!$E$4</f>
        <v>0</v>
      </c>
      <c r="O55" s="13">
        <f>CUSTOS!$E$5</f>
        <v>0</v>
      </c>
      <c r="P55" s="13">
        <f>CUSTOS!$E$6</f>
        <v>0</v>
      </c>
      <c r="Q55" s="13">
        <f>CUSTOS!$E$7</f>
        <v>-29649.206855117383</v>
      </c>
      <c r="R55" s="13">
        <f>CUSTOS!$E$8</f>
        <v>-5292.8430167260067</v>
      </c>
      <c r="S55" s="13">
        <f>CUSTOS!$E$9</f>
        <v>0</v>
      </c>
      <c r="T55" s="13">
        <f>CUSTOS!$E$10</f>
        <v>-35573.907815025726</v>
      </c>
      <c r="U55" s="13">
        <f>CUSTOS!$E$11</f>
        <v>0</v>
      </c>
      <c r="V55" s="13">
        <f>CUSTOS!$E$12</f>
        <v>0</v>
      </c>
      <c r="W55" s="13">
        <f>CUSTOS!$E$13</f>
        <v>0</v>
      </c>
      <c r="X55" s="13">
        <f>CUSTOS!$E$14</f>
        <v>0</v>
      </c>
      <c r="Y55" s="13">
        <f>CUSTOS!$E$15</f>
        <v>-142938.17947389829</v>
      </c>
      <c r="Z55" s="13">
        <f>CUSTOS!$E$16</f>
        <v>0</v>
      </c>
      <c r="AA55" s="13">
        <f>CUSTOS!$E$17</f>
        <v>0</v>
      </c>
      <c r="AB55" s="13">
        <f>CUSTOS!$E$18</f>
        <v>-142938.17947389829</v>
      </c>
      <c r="AC55" s="13">
        <f>CUSTOS!$E$19</f>
        <v>-2548674.1739379396</v>
      </c>
      <c r="AD55" s="13">
        <f>CUSTOS!$E$20</f>
        <v>-2548674.1739379396</v>
      </c>
      <c r="AE55" s="13">
        <f>CUSTOS!$E$21</f>
        <v>0</v>
      </c>
      <c r="AF55" s="13">
        <f>CUSTOS!$E$22</f>
        <v>0</v>
      </c>
      <c r="AG55" s="13">
        <f>CUSTOS!$E$23</f>
        <v>0</v>
      </c>
      <c r="AH55" s="13">
        <f>CUSTOS!$E$24</f>
        <v>-11659.138765059777</v>
      </c>
      <c r="AI55" s="13">
        <f>CUSTOS!$E$25</f>
        <v>0</v>
      </c>
      <c r="AJ55" s="13">
        <f>CUSTOS!$E$26</f>
        <v>0</v>
      </c>
      <c r="AK55" s="13">
        <f>CUSTOS!$E$27</f>
        <v>0</v>
      </c>
      <c r="AL55" s="13">
        <f>CUSTOS!$E$28</f>
        <v>-11659.138765059777</v>
      </c>
      <c r="AM55" s="13">
        <f>CUSTOS!$E$29</f>
        <v>-2738845.3999919235</v>
      </c>
      <c r="AO55" s="18">
        <f ca="1">IF(AO53&lt;&gt;0,AO54/AO53,0)</f>
        <v>0</v>
      </c>
      <c r="AP55" s="18">
        <f ca="1">IF(AP53&lt;&gt;0,AP54/AP53,0)</f>
        <v>0</v>
      </c>
    </row>
    <row r="56" spans="1:42" ht="11.25" customHeight="1" x14ac:dyDescent="0.3">
      <c r="K56" s="16" t="s">
        <v>467</v>
      </c>
      <c r="L56" s="13">
        <f>CUSTOS!$F$2</f>
        <v>0</v>
      </c>
      <c r="M56" s="13">
        <f>CUSTOS!$F$3</f>
        <v>0</v>
      </c>
      <c r="N56" s="13">
        <f>CUSTOS!$F$4</f>
        <v>0</v>
      </c>
      <c r="O56" s="13">
        <f>CUSTOS!$F$5</f>
        <v>0</v>
      </c>
      <c r="P56" s="13">
        <f>CUSTOS!$F$6</f>
        <v>0</v>
      </c>
      <c r="Q56" s="13">
        <f>CUSTOS!$F$7</f>
        <v>0</v>
      </c>
      <c r="R56" s="13">
        <f>CUSTOS!$F$8</f>
        <v>0</v>
      </c>
      <c r="S56" s="13">
        <f>CUSTOS!$F$9</f>
        <v>0</v>
      </c>
      <c r="T56" s="13">
        <f>CUSTOS!$F$10</f>
        <v>0</v>
      </c>
      <c r="U56" s="13">
        <f>CUSTOS!$F$11</f>
        <v>0</v>
      </c>
      <c r="V56" s="13">
        <f>CUSTOS!$F$12</f>
        <v>0</v>
      </c>
      <c r="W56" s="13">
        <f>CUSTOS!$F$13</f>
        <v>0</v>
      </c>
      <c r="X56" s="13">
        <f>CUSTOS!$F$14</f>
        <v>0</v>
      </c>
      <c r="Y56" s="13">
        <f>CUSTOS!$F$15</f>
        <v>0</v>
      </c>
      <c r="Z56" s="13">
        <f>CUSTOS!$F$16</f>
        <v>0</v>
      </c>
      <c r="AA56" s="13">
        <f>CUSTOS!$F$17</f>
        <v>0</v>
      </c>
      <c r="AB56" s="13">
        <f>CUSTOS!$F$18</f>
        <v>0</v>
      </c>
      <c r="AC56" s="13">
        <f>CUSTOS!$F$19</f>
        <v>0</v>
      </c>
      <c r="AD56" s="13">
        <f>CUSTOS!$F$20</f>
        <v>0</v>
      </c>
      <c r="AE56" s="13">
        <f>CUSTOS!$F$21</f>
        <v>0</v>
      </c>
      <c r="AF56" s="13">
        <f>CUSTOS!$F$22</f>
        <v>0</v>
      </c>
      <c r="AG56" s="13">
        <f>CUSTOS!$F$23</f>
        <v>0</v>
      </c>
      <c r="AH56" s="13">
        <f>CUSTOS!$F$24</f>
        <v>0</v>
      </c>
      <c r="AI56" s="13">
        <f>CUSTOS!$F$25</f>
        <v>0</v>
      </c>
      <c r="AJ56" s="13">
        <f>CUSTOS!$F$26</f>
        <v>0</v>
      </c>
      <c r="AK56" s="13">
        <f>CUSTOS!$F$27</f>
        <v>0</v>
      </c>
      <c r="AL56" s="13">
        <f>CUSTOS!$F$28</f>
        <v>0</v>
      </c>
      <c r="AM56" s="13">
        <f>CUSTOS!$F$29</f>
        <v>0</v>
      </c>
    </row>
    <row r="57" spans="1:42" ht="11.25" customHeight="1" x14ac:dyDescent="0.3">
      <c r="K57" s="16" t="s">
        <v>530</v>
      </c>
      <c r="L57" s="13">
        <v>0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/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/>
      <c r="AC57" s="13">
        <v>0</v>
      </c>
      <c r="AD57" s="13"/>
      <c r="AE57" s="13">
        <v>0</v>
      </c>
      <c r="AF57" s="13">
        <v>0</v>
      </c>
      <c r="AG57" s="13"/>
      <c r="AH57" s="13">
        <v>0</v>
      </c>
      <c r="AI57" s="13">
        <v>0</v>
      </c>
      <c r="AJ57" s="13">
        <v>0</v>
      </c>
      <c r="AK57" s="13">
        <v>0</v>
      </c>
      <c r="AL57" s="13"/>
      <c r="AM57" s="13"/>
    </row>
  </sheetData>
  <mergeCells count="73">
    <mergeCell ref="D1:D4"/>
    <mergeCell ref="E1:E4"/>
    <mergeCell ref="F1:F4"/>
    <mergeCell ref="J1:J4"/>
    <mergeCell ref="L1:AM1"/>
    <mergeCell ref="G1:G4"/>
    <mergeCell ref="H1:H4"/>
    <mergeCell ref="I1:I4"/>
    <mergeCell ref="AP1:AP4"/>
    <mergeCell ref="L2:AM2"/>
    <mergeCell ref="L3:T3"/>
    <mergeCell ref="U3:AB3"/>
    <mergeCell ref="AC3:AD3"/>
    <mergeCell ref="AE3:AG3"/>
    <mergeCell ref="AH3:AL3"/>
    <mergeCell ref="AM3:AM4"/>
    <mergeCell ref="A1:A4"/>
    <mergeCell ref="C10:C14"/>
    <mergeCell ref="D10:D14"/>
    <mergeCell ref="E10:E12"/>
    <mergeCell ref="F10:F12"/>
    <mergeCell ref="E13:E14"/>
    <mergeCell ref="F13:F14"/>
    <mergeCell ref="F5:F7"/>
    <mergeCell ref="B10:B14"/>
    <mergeCell ref="A5:A14"/>
    <mergeCell ref="B5:B8"/>
    <mergeCell ref="C5:C8"/>
    <mergeCell ref="D5:D8"/>
    <mergeCell ref="E5:E7"/>
    <mergeCell ref="B1:B4"/>
    <mergeCell ref="C1:C4"/>
    <mergeCell ref="A15:A16"/>
    <mergeCell ref="B15:B16"/>
    <mergeCell ref="C15:C16"/>
    <mergeCell ref="D15:D16"/>
    <mergeCell ref="A17:A29"/>
    <mergeCell ref="B17:B19"/>
    <mergeCell ref="C17:C19"/>
    <mergeCell ref="D17:D19"/>
    <mergeCell ref="E17:E19"/>
    <mergeCell ref="F17:F19"/>
    <mergeCell ref="B20:B24"/>
    <mergeCell ref="C20:C24"/>
    <mergeCell ref="B25:B29"/>
    <mergeCell ref="C25:C29"/>
    <mergeCell ref="D38:D40"/>
    <mergeCell ref="E38:E40"/>
    <mergeCell ref="F38:F40"/>
    <mergeCell ref="D30:D32"/>
    <mergeCell ref="E30:E32"/>
    <mergeCell ref="F30:F32"/>
    <mergeCell ref="D34:D36"/>
    <mergeCell ref="E34:E36"/>
    <mergeCell ref="F34:F36"/>
    <mergeCell ref="B42:B44"/>
    <mergeCell ref="C42:C44"/>
    <mergeCell ref="A45:A49"/>
    <mergeCell ref="B45:B47"/>
    <mergeCell ref="C45:C47"/>
    <mergeCell ref="A30:A44"/>
    <mergeCell ref="B30:B32"/>
    <mergeCell ref="C30:C32"/>
    <mergeCell ref="B38:B40"/>
    <mergeCell ref="C38:C40"/>
    <mergeCell ref="B34:B36"/>
    <mergeCell ref="C34:C36"/>
    <mergeCell ref="E45:E47"/>
    <mergeCell ref="F45:F47"/>
    <mergeCell ref="A50:A51"/>
    <mergeCell ref="B50:B51"/>
    <mergeCell ref="C50:C51"/>
    <mergeCell ref="D45:D47"/>
  </mergeCells>
  <conditionalFormatting sqref="L53">
    <cfRule type="cellIs" dxfId="746" priority="55" operator="notEqual">
      <formula>$L$56</formula>
    </cfRule>
    <cfRule type="cellIs" dxfId="745" priority="56" operator="equal">
      <formula>$L$56</formula>
    </cfRule>
  </conditionalFormatting>
  <conditionalFormatting sqref="M53">
    <cfRule type="cellIs" dxfId="744" priority="53" operator="notEqual">
      <formula>$M$56</formula>
    </cfRule>
    <cfRule type="cellIs" dxfId="743" priority="54" operator="equal">
      <formula>$M$56</formula>
    </cfRule>
  </conditionalFormatting>
  <conditionalFormatting sqref="N53">
    <cfRule type="cellIs" dxfId="742" priority="51" operator="notEqual">
      <formula>$N$56</formula>
    </cfRule>
    <cfRule type="cellIs" dxfId="741" priority="52" operator="equal">
      <formula>$N$56</formula>
    </cfRule>
  </conditionalFormatting>
  <conditionalFormatting sqref="O53">
    <cfRule type="cellIs" dxfId="740" priority="49" operator="notEqual">
      <formula>$O$56</formula>
    </cfRule>
    <cfRule type="cellIs" dxfId="739" priority="50" operator="equal">
      <formula>$O$56</formula>
    </cfRule>
  </conditionalFormatting>
  <conditionalFormatting sqref="P53">
    <cfRule type="cellIs" dxfId="738" priority="47" operator="notEqual">
      <formula>$P$56</formula>
    </cfRule>
    <cfRule type="cellIs" dxfId="737" priority="48" operator="equal">
      <formula>$P$56</formula>
    </cfRule>
  </conditionalFormatting>
  <conditionalFormatting sqref="Q53">
    <cfRule type="cellIs" dxfId="736" priority="45" operator="notEqual">
      <formula>$Q$56</formula>
    </cfRule>
    <cfRule type="cellIs" dxfId="735" priority="46" operator="equal">
      <formula>$Q$56</formula>
    </cfRule>
  </conditionalFormatting>
  <conditionalFormatting sqref="R53">
    <cfRule type="cellIs" dxfId="734" priority="43" operator="notEqual">
      <formula>$R$56</formula>
    </cfRule>
    <cfRule type="cellIs" dxfId="733" priority="44" operator="equal">
      <formula>$R$56</formula>
    </cfRule>
  </conditionalFormatting>
  <conditionalFormatting sqref="S53">
    <cfRule type="cellIs" dxfId="732" priority="41" operator="notEqual">
      <formula>$S$56</formula>
    </cfRule>
    <cfRule type="cellIs" dxfId="731" priority="42" operator="equal">
      <formula>$S$56</formula>
    </cfRule>
  </conditionalFormatting>
  <conditionalFormatting sqref="T53">
    <cfRule type="cellIs" dxfId="730" priority="39" operator="notEqual">
      <formula>$T$56</formula>
    </cfRule>
    <cfRule type="cellIs" dxfId="729" priority="40" operator="equal">
      <formula>$T$56</formula>
    </cfRule>
  </conditionalFormatting>
  <conditionalFormatting sqref="U53">
    <cfRule type="cellIs" dxfId="728" priority="37" operator="notEqual">
      <formula>$U$56</formula>
    </cfRule>
    <cfRule type="cellIs" dxfId="727" priority="38" operator="equal">
      <formula>$U$56</formula>
    </cfRule>
  </conditionalFormatting>
  <conditionalFormatting sqref="V53">
    <cfRule type="cellIs" dxfId="726" priority="35" operator="notEqual">
      <formula>$V$56</formula>
    </cfRule>
    <cfRule type="cellIs" dxfId="725" priority="36" operator="equal">
      <formula>$V$56</formula>
    </cfRule>
  </conditionalFormatting>
  <conditionalFormatting sqref="W53">
    <cfRule type="cellIs" dxfId="724" priority="33" operator="notEqual">
      <formula>$W$56</formula>
    </cfRule>
    <cfRule type="cellIs" dxfId="723" priority="34" operator="equal">
      <formula>$W$56</formula>
    </cfRule>
  </conditionalFormatting>
  <conditionalFormatting sqref="X53">
    <cfRule type="cellIs" dxfId="722" priority="31" operator="notEqual">
      <formula>$X$56</formula>
    </cfRule>
    <cfRule type="cellIs" dxfId="721" priority="32" operator="equal">
      <formula>$X$56</formula>
    </cfRule>
  </conditionalFormatting>
  <conditionalFormatting sqref="Y53">
    <cfRule type="cellIs" dxfId="720" priority="29" operator="notEqual">
      <formula>$Y$56</formula>
    </cfRule>
    <cfRule type="cellIs" dxfId="719" priority="30" operator="equal">
      <formula>$Y$56</formula>
    </cfRule>
  </conditionalFormatting>
  <conditionalFormatting sqref="Z53">
    <cfRule type="cellIs" dxfId="718" priority="27" operator="notEqual">
      <formula>$Z$56</formula>
    </cfRule>
    <cfRule type="cellIs" dxfId="717" priority="28" operator="equal">
      <formula>$Z$56</formula>
    </cfRule>
  </conditionalFormatting>
  <conditionalFormatting sqref="AA53">
    <cfRule type="cellIs" dxfId="716" priority="25" operator="notEqual">
      <formula>$AA$56</formula>
    </cfRule>
    <cfRule type="cellIs" dxfId="715" priority="26" operator="equal">
      <formula>$AA$56</formula>
    </cfRule>
  </conditionalFormatting>
  <conditionalFormatting sqref="AB53">
    <cfRule type="cellIs" dxfId="714" priority="23" operator="notEqual">
      <formula>$AB$56</formula>
    </cfRule>
    <cfRule type="cellIs" dxfId="713" priority="24" operator="equal">
      <formula>$AB$56</formula>
    </cfRule>
  </conditionalFormatting>
  <conditionalFormatting sqref="AC53">
    <cfRule type="cellIs" dxfId="712" priority="21" operator="notEqual">
      <formula>$AC$56</formula>
    </cfRule>
    <cfRule type="cellIs" dxfId="711" priority="22" operator="equal">
      <formula>$AC$56</formula>
    </cfRule>
  </conditionalFormatting>
  <conditionalFormatting sqref="AD53">
    <cfRule type="cellIs" dxfId="710" priority="19" operator="notEqual">
      <formula>$AD$56</formula>
    </cfRule>
    <cfRule type="cellIs" dxfId="709" priority="20" operator="equal">
      <formula>$AD$56</formula>
    </cfRule>
  </conditionalFormatting>
  <conditionalFormatting sqref="AE53">
    <cfRule type="cellIs" dxfId="708" priority="17" operator="notEqual">
      <formula>$AE$56</formula>
    </cfRule>
    <cfRule type="cellIs" dxfId="707" priority="18" operator="equal">
      <formula>$AE$56</formula>
    </cfRule>
  </conditionalFormatting>
  <conditionalFormatting sqref="AF53">
    <cfRule type="cellIs" dxfId="706" priority="16" operator="equal">
      <formula>$AF$56</formula>
    </cfRule>
  </conditionalFormatting>
  <conditionalFormatting sqref="AF53">
    <cfRule type="cellIs" dxfId="705" priority="15" operator="notEqual">
      <formula>$AF$56</formula>
    </cfRule>
  </conditionalFormatting>
  <conditionalFormatting sqref="AG53">
    <cfRule type="cellIs" dxfId="704" priority="14" operator="equal">
      <formula>$AG$56</formula>
    </cfRule>
  </conditionalFormatting>
  <conditionalFormatting sqref="AG53">
    <cfRule type="cellIs" dxfId="703" priority="13" operator="notEqual">
      <formula>$AG$56</formula>
    </cfRule>
  </conditionalFormatting>
  <conditionalFormatting sqref="AH53">
    <cfRule type="cellIs" dxfId="702" priority="12" operator="equal">
      <formula>$AH$56</formula>
    </cfRule>
  </conditionalFormatting>
  <conditionalFormatting sqref="AH53">
    <cfRule type="cellIs" dxfId="701" priority="11" operator="notEqual">
      <formula>$AH$56</formula>
    </cfRule>
  </conditionalFormatting>
  <conditionalFormatting sqref="AI53">
    <cfRule type="cellIs" dxfId="700" priority="10" operator="equal">
      <formula>$AI$56</formula>
    </cfRule>
  </conditionalFormatting>
  <conditionalFormatting sqref="AI53">
    <cfRule type="cellIs" dxfId="699" priority="9" operator="notEqual">
      <formula>$AI$56</formula>
    </cfRule>
  </conditionalFormatting>
  <conditionalFormatting sqref="AJ53">
    <cfRule type="cellIs" dxfId="698" priority="8" operator="equal">
      <formula>$AJ$56</formula>
    </cfRule>
  </conditionalFormatting>
  <conditionalFormatting sqref="AJ53">
    <cfRule type="cellIs" dxfId="697" priority="7" operator="notEqual">
      <formula>$AJ$56</formula>
    </cfRule>
  </conditionalFormatting>
  <conditionalFormatting sqref="AK53">
    <cfRule type="cellIs" dxfId="696" priority="6" operator="equal">
      <formula>$AK$56</formula>
    </cfRule>
  </conditionalFormatting>
  <conditionalFormatting sqref="AK53">
    <cfRule type="cellIs" dxfId="695" priority="5" operator="notEqual">
      <formula>$AK$56</formula>
    </cfRule>
  </conditionalFormatting>
  <conditionalFormatting sqref="AL53">
    <cfRule type="cellIs" dxfId="694" priority="4" operator="equal">
      <formula>$AL$56</formula>
    </cfRule>
  </conditionalFormatting>
  <conditionalFormatting sqref="AL53">
    <cfRule type="cellIs" dxfId="693" priority="3" operator="notEqual">
      <formula>$AL$56</formula>
    </cfRule>
  </conditionalFormatting>
  <conditionalFormatting sqref="AM53">
    <cfRule type="cellIs" dxfId="692" priority="2" operator="equal">
      <formula>$AM$56</formula>
    </cfRule>
  </conditionalFormatting>
  <conditionalFormatting sqref="AM53">
    <cfRule type="cellIs" dxfId="691" priority="1" operator="notEqual">
      <formula>$AM$56</formula>
    </cfRule>
  </conditionalFormatting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93C07-7A34-43C8-90EF-4501D97B2C3F}">
  <sheetPr codeName="Planilha12"/>
  <dimension ref="A1:AB49"/>
  <sheetViews>
    <sheetView showGridLines="0" topLeftCell="A25" workbookViewId="0">
      <selection activeCell="K43" sqref="K43:AB49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20" style="9" bestFit="1" customWidth="1"/>
    <col min="12" max="14" width="7.88671875" style="9" bestFit="1" customWidth="1"/>
    <col min="15" max="15" width="11.109375" style="9" bestFit="1" customWidth="1"/>
    <col min="16" max="16" width="8.109375" style="9" bestFit="1" customWidth="1"/>
    <col min="17" max="17" width="9.33203125" style="9" bestFit="1" customWidth="1"/>
    <col min="18" max="18" width="15" style="9" bestFit="1" customWidth="1"/>
    <col min="19" max="19" width="10" style="9" bestFit="1" customWidth="1"/>
    <col min="20" max="20" width="7.88671875" style="9" bestFit="1" customWidth="1"/>
    <col min="21" max="21" width="10.44140625" style="9" bestFit="1" customWidth="1"/>
    <col min="22" max="22" width="7.88671875" style="9" bestFit="1" customWidth="1"/>
    <col min="23" max="23" width="9.33203125" style="9" bestFit="1" customWidth="1"/>
    <col min="24" max="24" width="8" style="9" bestFit="1" customWidth="1"/>
    <col min="25" max="25" width="9.33203125" style="9" bestFit="1" customWidth="1"/>
    <col min="26" max="26" width="11" style="9" bestFit="1" customWidth="1"/>
    <col min="27" max="27" width="9.33203125" style="9" bestFit="1" customWidth="1"/>
    <col min="28" max="28" width="10" style="9" bestFit="1" customWidth="1"/>
    <col min="29" max="16384" width="9.109375" style="9"/>
  </cols>
  <sheetData>
    <row r="1" spans="1:28" ht="11.25" customHeight="1" x14ac:dyDescent="0.3">
      <c r="A1" s="97" t="s">
        <v>59</v>
      </c>
      <c r="B1" s="97" t="s">
        <v>60</v>
      </c>
      <c r="C1" s="97" t="s">
        <v>61</v>
      </c>
      <c r="D1" s="97" t="s">
        <v>62</v>
      </c>
      <c r="E1" s="97" t="s">
        <v>63</v>
      </c>
      <c r="F1" s="97" t="s">
        <v>15</v>
      </c>
      <c r="G1" s="97" t="s">
        <v>65</v>
      </c>
      <c r="H1" s="97" t="s">
        <v>66</v>
      </c>
      <c r="I1" s="97" t="s">
        <v>524</v>
      </c>
      <c r="J1" s="86"/>
      <c r="L1" s="98" t="s">
        <v>545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spans="1:28" ht="11.25" customHeight="1" x14ac:dyDescent="0.3">
      <c r="A2" s="97"/>
      <c r="B2" s="97"/>
      <c r="C2" s="97"/>
      <c r="D2" s="97"/>
      <c r="E2" s="97"/>
      <c r="F2" s="97"/>
      <c r="G2" s="97"/>
      <c r="H2" s="97"/>
      <c r="I2" s="97"/>
      <c r="J2" s="86"/>
      <c r="L2" s="98" t="s">
        <v>451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</row>
    <row r="3" spans="1:28" ht="11.25" customHeight="1" x14ac:dyDescent="0.3">
      <c r="A3" s="97"/>
      <c r="B3" s="97"/>
      <c r="C3" s="97"/>
      <c r="D3" s="97"/>
      <c r="E3" s="97"/>
      <c r="F3" s="97"/>
      <c r="G3" s="97"/>
      <c r="H3" s="97"/>
      <c r="I3" s="97"/>
      <c r="J3" s="86"/>
      <c r="L3" s="98" t="s">
        <v>424</v>
      </c>
      <c r="M3" s="98"/>
      <c r="N3" s="98"/>
      <c r="O3" s="98"/>
      <c r="P3" s="98"/>
      <c r="Q3" s="98"/>
      <c r="R3" s="98" t="s">
        <v>455</v>
      </c>
      <c r="S3" s="98"/>
      <c r="T3" s="98" t="s">
        <v>433</v>
      </c>
      <c r="U3" s="98"/>
      <c r="V3" s="98"/>
      <c r="W3" s="98"/>
      <c r="X3" s="98" t="s">
        <v>443</v>
      </c>
      <c r="Y3" s="98"/>
      <c r="Z3" s="98" t="s">
        <v>446</v>
      </c>
      <c r="AA3" s="98"/>
      <c r="AB3" s="98" t="s">
        <v>432</v>
      </c>
    </row>
    <row r="4" spans="1:28" ht="11.25" customHeight="1" x14ac:dyDescent="0.3">
      <c r="A4" s="97"/>
      <c r="B4" s="97"/>
      <c r="C4" s="97"/>
      <c r="D4" s="97"/>
      <c r="E4" s="97"/>
      <c r="F4" s="97"/>
      <c r="G4" s="97"/>
      <c r="H4" s="97"/>
      <c r="I4" s="97"/>
      <c r="J4" s="86"/>
      <c r="L4" s="24" t="s">
        <v>426</v>
      </c>
      <c r="M4" s="24" t="s">
        <v>452</v>
      </c>
      <c r="N4" s="24" t="s">
        <v>453</v>
      </c>
      <c r="O4" s="24" t="s">
        <v>512</v>
      </c>
      <c r="P4" s="24" t="s">
        <v>454</v>
      </c>
      <c r="Q4" s="24" t="s">
        <v>432</v>
      </c>
      <c r="R4" s="24" t="s">
        <v>456</v>
      </c>
      <c r="S4" s="24" t="s">
        <v>432</v>
      </c>
      <c r="T4" s="24" t="s">
        <v>457</v>
      </c>
      <c r="U4" s="24" t="s">
        <v>458</v>
      </c>
      <c r="V4" s="24" t="s">
        <v>459</v>
      </c>
      <c r="W4" s="24" t="s">
        <v>432</v>
      </c>
      <c r="X4" s="24" t="s">
        <v>444</v>
      </c>
      <c r="Y4" s="24" t="s">
        <v>432</v>
      </c>
      <c r="Z4" s="24" t="s">
        <v>460</v>
      </c>
      <c r="AA4" s="24" t="s">
        <v>432</v>
      </c>
      <c r="AB4" s="99"/>
    </row>
    <row r="5" spans="1:28" ht="11.25" customHeight="1" x14ac:dyDescent="0.3">
      <c r="A5" s="96" t="s">
        <v>35</v>
      </c>
      <c r="B5" s="96" t="s">
        <v>68</v>
      </c>
      <c r="C5" s="96" t="s">
        <v>25</v>
      </c>
      <c r="D5" s="96" t="s">
        <v>25</v>
      </c>
      <c r="E5" s="96" t="s">
        <v>25</v>
      </c>
      <c r="F5" s="96" t="s">
        <v>25</v>
      </c>
      <c r="G5" s="23" t="s">
        <v>70</v>
      </c>
      <c r="H5" s="23" t="s">
        <v>69</v>
      </c>
      <c r="I5" s="23">
        <f>'MERCADO TE'!$U$2</f>
        <v>1248.6389999999999</v>
      </c>
      <c r="J5" s="15"/>
      <c r="L5" s="20">
        <v>1</v>
      </c>
      <c r="M5" s="20">
        <v>1</v>
      </c>
      <c r="N5" s="20">
        <v>1</v>
      </c>
      <c r="O5" s="20">
        <v>1</v>
      </c>
      <c r="P5" s="20">
        <v>1</v>
      </c>
      <c r="Q5" s="20"/>
      <c r="R5" s="20">
        <v>1</v>
      </c>
      <c r="S5" s="20"/>
      <c r="T5" s="20">
        <v>1</v>
      </c>
      <c r="U5" s="20">
        <v>1</v>
      </c>
      <c r="V5" s="20">
        <v>1</v>
      </c>
      <c r="W5" s="20"/>
      <c r="X5" s="20"/>
      <c r="Y5" s="20"/>
      <c r="Z5" s="20">
        <v>1</v>
      </c>
      <c r="AA5" s="20"/>
      <c r="AB5" s="20"/>
    </row>
    <row r="6" spans="1:28" ht="11.25" customHeight="1" x14ac:dyDescent="0.3">
      <c r="A6" s="96"/>
      <c r="B6" s="96"/>
      <c r="C6" s="96"/>
      <c r="D6" s="96"/>
      <c r="E6" s="96"/>
      <c r="F6" s="96"/>
      <c r="G6" s="23" t="s">
        <v>71</v>
      </c>
      <c r="H6" s="23" t="s">
        <v>69</v>
      </c>
      <c r="I6" s="23">
        <f>'MERCADO TE'!$U$3</f>
        <v>28654.205000000002</v>
      </c>
      <c r="J6" s="15"/>
      <c r="L6" s="20">
        <v>1</v>
      </c>
      <c r="M6" s="20">
        <v>1</v>
      </c>
      <c r="N6" s="20">
        <v>1</v>
      </c>
      <c r="O6" s="20">
        <v>1</v>
      </c>
      <c r="P6" s="20">
        <v>1</v>
      </c>
      <c r="Q6" s="20"/>
      <c r="R6" s="20">
        <v>1</v>
      </c>
      <c r="S6" s="20"/>
      <c r="T6" s="20">
        <v>1</v>
      </c>
      <c r="U6" s="20">
        <v>1</v>
      </c>
      <c r="V6" s="20">
        <v>1</v>
      </c>
      <c r="W6" s="20"/>
      <c r="X6" s="20"/>
      <c r="Y6" s="20"/>
      <c r="Z6" s="20">
        <v>1</v>
      </c>
      <c r="AA6" s="20"/>
      <c r="AB6" s="20"/>
    </row>
    <row r="7" spans="1:28" ht="11.25" customHeight="1" x14ac:dyDescent="0.3">
      <c r="A7" s="96" t="s">
        <v>22</v>
      </c>
      <c r="B7" s="96" t="s">
        <v>68</v>
      </c>
      <c r="C7" s="96" t="s">
        <v>24</v>
      </c>
      <c r="D7" s="96" t="s">
        <v>24</v>
      </c>
      <c r="E7" s="96" t="s">
        <v>25</v>
      </c>
      <c r="F7" s="96" t="s">
        <v>25</v>
      </c>
      <c r="G7" s="23" t="s">
        <v>70</v>
      </c>
      <c r="H7" s="23" t="s">
        <v>69</v>
      </c>
      <c r="I7" s="23">
        <f>'MERCADO TE'!$U$4</f>
        <v>0</v>
      </c>
      <c r="J7" s="15"/>
      <c r="L7" s="20">
        <v>1</v>
      </c>
      <c r="M7" s="20">
        <v>1</v>
      </c>
      <c r="N7" s="20">
        <v>1</v>
      </c>
      <c r="O7" s="20">
        <v>1</v>
      </c>
      <c r="P7" s="20">
        <v>1</v>
      </c>
      <c r="Q7" s="20"/>
      <c r="R7" s="20">
        <v>1</v>
      </c>
      <c r="S7" s="20"/>
      <c r="T7" s="20">
        <v>1</v>
      </c>
      <c r="U7" s="20">
        <v>1</v>
      </c>
      <c r="V7" s="20">
        <v>1</v>
      </c>
      <c r="W7" s="20"/>
      <c r="X7" s="20"/>
      <c r="Y7" s="20"/>
      <c r="Z7" s="20">
        <v>1</v>
      </c>
      <c r="AA7" s="20"/>
      <c r="AB7" s="20"/>
    </row>
    <row r="8" spans="1:28" ht="11.25" customHeight="1" x14ac:dyDescent="0.3">
      <c r="A8" s="96"/>
      <c r="B8" s="96"/>
      <c r="C8" s="96"/>
      <c r="D8" s="96"/>
      <c r="E8" s="96"/>
      <c r="F8" s="96"/>
      <c r="G8" s="23" t="s">
        <v>81</v>
      </c>
      <c r="H8" s="23" t="s">
        <v>69</v>
      </c>
      <c r="I8" s="23">
        <f>'MERCADO TE'!$U$5</f>
        <v>0</v>
      </c>
      <c r="J8" s="15"/>
      <c r="L8" s="20">
        <v>1</v>
      </c>
      <c r="M8" s="20">
        <v>1</v>
      </c>
      <c r="N8" s="20">
        <v>1</v>
      </c>
      <c r="O8" s="20">
        <v>1</v>
      </c>
      <c r="P8" s="20">
        <v>1</v>
      </c>
      <c r="Q8" s="20"/>
      <c r="R8" s="20">
        <v>1</v>
      </c>
      <c r="S8" s="20"/>
      <c r="T8" s="20">
        <v>1</v>
      </c>
      <c r="U8" s="20">
        <v>1</v>
      </c>
      <c r="V8" s="20">
        <v>1</v>
      </c>
      <c r="W8" s="20"/>
      <c r="X8" s="20"/>
      <c r="Y8" s="20"/>
      <c r="Z8" s="20">
        <v>1</v>
      </c>
      <c r="AA8" s="20"/>
      <c r="AB8" s="20"/>
    </row>
    <row r="9" spans="1:28" ht="11.25" customHeight="1" x14ac:dyDescent="0.3">
      <c r="A9" s="96"/>
      <c r="B9" s="96"/>
      <c r="C9" s="96"/>
      <c r="D9" s="96"/>
      <c r="E9" s="96"/>
      <c r="F9" s="96"/>
      <c r="G9" s="23" t="s">
        <v>71</v>
      </c>
      <c r="H9" s="23" t="s">
        <v>69</v>
      </c>
      <c r="I9" s="23">
        <f>'MERCADO TE'!$U$6</f>
        <v>0</v>
      </c>
      <c r="J9" s="15"/>
      <c r="L9" s="20">
        <v>1</v>
      </c>
      <c r="M9" s="20">
        <v>1</v>
      </c>
      <c r="N9" s="20">
        <v>1</v>
      </c>
      <c r="O9" s="20">
        <v>1</v>
      </c>
      <c r="P9" s="20">
        <v>1</v>
      </c>
      <c r="Q9" s="20"/>
      <c r="R9" s="20">
        <v>1</v>
      </c>
      <c r="S9" s="20"/>
      <c r="T9" s="20">
        <v>1</v>
      </c>
      <c r="U9" s="20">
        <v>1</v>
      </c>
      <c r="V9" s="20">
        <v>1</v>
      </c>
      <c r="W9" s="20"/>
      <c r="X9" s="20"/>
      <c r="Y9" s="20"/>
      <c r="Z9" s="20">
        <v>1</v>
      </c>
      <c r="AA9" s="20"/>
      <c r="AB9" s="20"/>
    </row>
    <row r="10" spans="1:28" ht="11.25" customHeight="1" x14ac:dyDescent="0.3">
      <c r="A10" s="96"/>
      <c r="B10" s="96" t="s">
        <v>82</v>
      </c>
      <c r="C10" s="96" t="s">
        <v>24</v>
      </c>
      <c r="D10" s="22" t="s">
        <v>24</v>
      </c>
      <c r="E10" s="22" t="s">
        <v>25</v>
      </c>
      <c r="F10" s="22" t="s">
        <v>25</v>
      </c>
      <c r="G10" s="23" t="s">
        <v>75</v>
      </c>
      <c r="H10" s="23" t="s">
        <v>69</v>
      </c>
      <c r="I10" s="23">
        <f>'MERCADO TE'!$U$7</f>
        <v>6626.2160000000003</v>
      </c>
      <c r="J10" s="15"/>
      <c r="L10" s="20">
        <v>1</v>
      </c>
      <c r="M10" s="20">
        <v>1</v>
      </c>
      <c r="N10" s="20">
        <v>1</v>
      </c>
      <c r="O10" s="20">
        <v>1</v>
      </c>
      <c r="P10" s="20">
        <v>1</v>
      </c>
      <c r="Q10" s="20"/>
      <c r="R10" s="20">
        <v>1</v>
      </c>
      <c r="S10" s="20"/>
      <c r="T10" s="20">
        <v>1</v>
      </c>
      <c r="U10" s="20">
        <v>1</v>
      </c>
      <c r="V10" s="20">
        <v>1</v>
      </c>
      <c r="W10" s="20"/>
      <c r="X10" s="20"/>
      <c r="Y10" s="20"/>
      <c r="Z10" s="20">
        <v>1</v>
      </c>
      <c r="AA10" s="20"/>
      <c r="AB10" s="20"/>
    </row>
    <row r="11" spans="1:28" ht="11.25" customHeight="1" x14ac:dyDescent="0.3">
      <c r="A11" s="96"/>
      <c r="B11" s="96"/>
      <c r="C11" s="96"/>
      <c r="D11" s="22" t="s">
        <v>29</v>
      </c>
      <c r="E11" s="22" t="s">
        <v>25</v>
      </c>
      <c r="F11" s="22" t="s">
        <v>25</v>
      </c>
      <c r="G11" s="23" t="s">
        <v>75</v>
      </c>
      <c r="H11" s="23" t="s">
        <v>69</v>
      </c>
      <c r="I11" s="23">
        <f>'MERCADO TE'!$U$8</f>
        <v>56.819999999999993</v>
      </c>
      <c r="J11" s="15"/>
      <c r="L11" s="20">
        <f>1 - CUSTOS!$M$24</f>
        <v>1</v>
      </c>
      <c r="M11" s="20">
        <f>1 - CUSTOS!$M$24</f>
        <v>1</v>
      </c>
      <c r="N11" s="20">
        <f>1 - CUSTOS!$M$24</f>
        <v>1</v>
      </c>
      <c r="O11" s="20">
        <f>1 - CUSTOS!$M$24</f>
        <v>1</v>
      </c>
      <c r="P11" s="20">
        <f>1 - CUSTOS!$M$24</f>
        <v>1</v>
      </c>
      <c r="Q11" s="20"/>
      <c r="R11" s="20">
        <f>(1 - CUSTOS!$M$24)*1</f>
        <v>1</v>
      </c>
      <c r="S11" s="20"/>
      <c r="T11" s="20">
        <f>1 - CUSTOS!$M$24</f>
        <v>1</v>
      </c>
      <c r="U11" s="20">
        <f>1 - CUSTOS!$M$24</f>
        <v>1</v>
      </c>
      <c r="V11" s="20">
        <f>1 - CUSTOS!$M$24</f>
        <v>1</v>
      </c>
      <c r="W11" s="20"/>
      <c r="X11" s="20"/>
      <c r="Y11" s="20"/>
      <c r="Z11" s="20">
        <f>1 - CUSTOS!$M$24</f>
        <v>1</v>
      </c>
      <c r="AA11" s="20"/>
      <c r="AB11" s="20"/>
    </row>
    <row r="12" spans="1:28" ht="11.25" customHeight="1" x14ac:dyDescent="0.3">
      <c r="A12" s="96"/>
      <c r="B12" s="96"/>
      <c r="C12" s="96"/>
      <c r="D12" s="22" t="s">
        <v>30</v>
      </c>
      <c r="E12" s="22" t="s">
        <v>25</v>
      </c>
      <c r="F12" s="22" t="s">
        <v>25</v>
      </c>
      <c r="G12" s="23" t="s">
        <v>75</v>
      </c>
      <c r="H12" s="23" t="s">
        <v>69</v>
      </c>
      <c r="I12" s="23">
        <f>'MERCADO TE'!$U$9</f>
        <v>114.55999999999999</v>
      </c>
      <c r="J12" s="15"/>
      <c r="L12" s="20">
        <f>1 - CUSTOS!$M$25</f>
        <v>1</v>
      </c>
      <c r="M12" s="20">
        <f>1 - CUSTOS!$M$25</f>
        <v>1</v>
      </c>
      <c r="N12" s="20">
        <f>1 - CUSTOS!$M$25</f>
        <v>1</v>
      </c>
      <c r="O12" s="20">
        <f>1 - CUSTOS!$M$25</f>
        <v>1</v>
      </c>
      <c r="P12" s="20">
        <f>1 - CUSTOS!$M$25</f>
        <v>1</v>
      </c>
      <c r="Q12" s="20"/>
      <c r="R12" s="20">
        <f>(1 - CUSTOS!$M$25)*1</f>
        <v>1</v>
      </c>
      <c r="S12" s="20"/>
      <c r="T12" s="20">
        <f>1 - CUSTOS!$M$25</f>
        <v>1</v>
      </c>
      <c r="U12" s="20">
        <f>1 - CUSTOS!$M$25</f>
        <v>1</v>
      </c>
      <c r="V12" s="20">
        <f>1 - CUSTOS!$M$25</f>
        <v>1</v>
      </c>
      <c r="W12" s="20"/>
      <c r="X12" s="20"/>
      <c r="Y12" s="20"/>
      <c r="Z12" s="20">
        <f>1 - CUSTOS!$M$25</f>
        <v>1</v>
      </c>
      <c r="AA12" s="20"/>
      <c r="AB12" s="20"/>
    </row>
    <row r="13" spans="1:28" ht="11.25" customHeight="1" x14ac:dyDescent="0.3">
      <c r="A13" s="96"/>
      <c r="B13" s="96"/>
      <c r="C13" s="96"/>
      <c r="D13" s="22" t="s">
        <v>31</v>
      </c>
      <c r="E13" s="22" t="s">
        <v>25</v>
      </c>
      <c r="F13" s="22" t="s">
        <v>25</v>
      </c>
      <c r="G13" s="23" t="s">
        <v>75</v>
      </c>
      <c r="H13" s="23" t="s">
        <v>69</v>
      </c>
      <c r="I13" s="23">
        <f>'MERCADO TE'!$U$10</f>
        <v>116.22800000000001</v>
      </c>
      <c r="J13" s="15"/>
      <c r="L13" s="20">
        <f>1 - CUSTOS!$M$26</f>
        <v>1</v>
      </c>
      <c r="M13" s="20">
        <f>1 - CUSTOS!$M$26</f>
        <v>1</v>
      </c>
      <c r="N13" s="20">
        <f>1 - CUSTOS!$M$26</f>
        <v>1</v>
      </c>
      <c r="O13" s="20">
        <f>1 - CUSTOS!$M$26</f>
        <v>1</v>
      </c>
      <c r="P13" s="20">
        <f>1 - CUSTOS!$M$26</f>
        <v>1</v>
      </c>
      <c r="Q13" s="20"/>
      <c r="R13" s="20">
        <f>(1 - CUSTOS!$M$26)*1</f>
        <v>1</v>
      </c>
      <c r="S13" s="20"/>
      <c r="T13" s="20">
        <f>1 - CUSTOS!$M$26</f>
        <v>1</v>
      </c>
      <c r="U13" s="20">
        <f>1 - CUSTOS!$M$26</f>
        <v>1</v>
      </c>
      <c r="V13" s="20">
        <f>1 - CUSTOS!$M$26</f>
        <v>1</v>
      </c>
      <c r="W13" s="20"/>
      <c r="X13" s="20"/>
      <c r="Y13" s="20"/>
      <c r="Z13" s="20">
        <f>1 - CUSTOS!$M$26</f>
        <v>1</v>
      </c>
      <c r="AA13" s="20"/>
      <c r="AB13" s="20"/>
    </row>
    <row r="14" spans="1:28" ht="11.25" customHeight="1" x14ac:dyDescent="0.3">
      <c r="A14" s="96"/>
      <c r="B14" s="96"/>
      <c r="C14" s="96"/>
      <c r="D14" s="22" t="s">
        <v>32</v>
      </c>
      <c r="E14" s="22" t="s">
        <v>25</v>
      </c>
      <c r="F14" s="22" t="s">
        <v>25</v>
      </c>
      <c r="G14" s="23" t="s">
        <v>75</v>
      </c>
      <c r="H14" s="23" t="s">
        <v>69</v>
      </c>
      <c r="I14" s="23">
        <f>'MERCADO TE'!$U$11</f>
        <v>45.311999999999998</v>
      </c>
      <c r="J14" s="15"/>
      <c r="L14" s="20">
        <f>1 - CUSTOS!$M$27</f>
        <v>1</v>
      </c>
      <c r="M14" s="20">
        <f>1 - CUSTOS!$M$27</f>
        <v>1</v>
      </c>
      <c r="N14" s="20">
        <f>1 - CUSTOS!$M$27</f>
        <v>1</v>
      </c>
      <c r="O14" s="20">
        <f>1 - CUSTOS!$M$27</f>
        <v>1</v>
      </c>
      <c r="P14" s="20">
        <f>1 - CUSTOS!$M$27</f>
        <v>1</v>
      </c>
      <c r="Q14" s="20"/>
      <c r="R14" s="20">
        <f>(1 - CUSTOS!$M$27)*1</f>
        <v>1</v>
      </c>
      <c r="S14" s="20"/>
      <c r="T14" s="20">
        <f>1 - CUSTOS!$M$27</f>
        <v>1</v>
      </c>
      <c r="U14" s="20">
        <f>1 - CUSTOS!$M$27</f>
        <v>1</v>
      </c>
      <c r="V14" s="20">
        <f>1 - CUSTOS!$M$27</f>
        <v>1</v>
      </c>
      <c r="W14" s="20"/>
      <c r="X14" s="20"/>
      <c r="Y14" s="20"/>
      <c r="Z14" s="20">
        <f>1 - CUSTOS!$M$27</f>
        <v>1</v>
      </c>
      <c r="AA14" s="20"/>
      <c r="AB14" s="20"/>
    </row>
    <row r="15" spans="1:28" ht="11.25" customHeight="1" x14ac:dyDescent="0.3">
      <c r="A15" s="96"/>
      <c r="B15" s="96" t="s">
        <v>83</v>
      </c>
      <c r="C15" s="96" t="s">
        <v>24</v>
      </c>
      <c r="D15" s="22" t="s">
        <v>24</v>
      </c>
      <c r="E15" s="22" t="s">
        <v>25</v>
      </c>
      <c r="F15" s="22" t="s">
        <v>25</v>
      </c>
      <c r="G15" s="23" t="s">
        <v>75</v>
      </c>
      <c r="H15" s="23" t="s">
        <v>69</v>
      </c>
      <c r="I15" s="23">
        <f>'MERCADO TE'!$U$12</f>
        <v>0</v>
      </c>
      <c r="J15" s="15"/>
      <c r="L15" s="20">
        <v>1</v>
      </c>
      <c r="M15" s="20">
        <v>1</v>
      </c>
      <c r="N15" s="20">
        <v>1</v>
      </c>
      <c r="O15" s="20">
        <v>1</v>
      </c>
      <c r="P15" s="20">
        <v>1</v>
      </c>
      <c r="Q15" s="20"/>
      <c r="R15" s="20">
        <v>1</v>
      </c>
      <c r="S15" s="20"/>
      <c r="T15" s="20">
        <v>1</v>
      </c>
      <c r="U15" s="20">
        <v>1</v>
      </c>
      <c r="V15" s="20">
        <v>1</v>
      </c>
      <c r="W15" s="20"/>
      <c r="X15" s="20"/>
      <c r="Y15" s="20"/>
      <c r="Z15" s="20">
        <v>1</v>
      </c>
      <c r="AA15" s="20"/>
      <c r="AB15" s="20"/>
    </row>
    <row r="16" spans="1:28" ht="11.25" customHeight="1" x14ac:dyDescent="0.3">
      <c r="A16" s="96"/>
      <c r="B16" s="96"/>
      <c r="C16" s="96"/>
      <c r="D16" s="22" t="s">
        <v>29</v>
      </c>
      <c r="E16" s="22" t="s">
        <v>25</v>
      </c>
      <c r="F16" s="22" t="s">
        <v>25</v>
      </c>
      <c r="G16" s="23" t="s">
        <v>75</v>
      </c>
      <c r="H16" s="23" t="s">
        <v>69</v>
      </c>
      <c r="I16" s="23">
        <f>'MERCADO TE'!$U$13</f>
        <v>0</v>
      </c>
      <c r="J16" s="15"/>
      <c r="L16" s="20">
        <f>1 - CUSTOS!$M$24</f>
        <v>1</v>
      </c>
      <c r="M16" s="20">
        <f>1 - CUSTOS!$M$24</f>
        <v>1</v>
      </c>
      <c r="N16" s="20">
        <f>1 - CUSTOS!$M$24</f>
        <v>1</v>
      </c>
      <c r="O16" s="20">
        <f>1 - CUSTOS!$M$24</f>
        <v>1</v>
      </c>
      <c r="P16" s="20">
        <f>1 - CUSTOS!$M$24</f>
        <v>1</v>
      </c>
      <c r="Q16" s="20"/>
      <c r="R16" s="20">
        <f>(1 - CUSTOS!$M$24)*1</f>
        <v>1</v>
      </c>
      <c r="S16" s="20"/>
      <c r="T16" s="20">
        <f>1 - CUSTOS!$M$24</f>
        <v>1</v>
      </c>
      <c r="U16" s="20">
        <f>1 - CUSTOS!$M$24</f>
        <v>1</v>
      </c>
      <c r="V16" s="20">
        <f>1 - CUSTOS!$M$24</f>
        <v>1</v>
      </c>
      <c r="W16" s="20"/>
      <c r="X16" s="20"/>
      <c r="Y16" s="20"/>
      <c r="Z16" s="20">
        <f>1 - CUSTOS!$M$24</f>
        <v>1</v>
      </c>
      <c r="AA16" s="20"/>
      <c r="AB16" s="20"/>
    </row>
    <row r="17" spans="1:28" ht="11.25" customHeight="1" x14ac:dyDescent="0.3">
      <c r="A17" s="96"/>
      <c r="B17" s="96"/>
      <c r="C17" s="96"/>
      <c r="D17" s="22" t="s">
        <v>30</v>
      </c>
      <c r="E17" s="22" t="s">
        <v>25</v>
      </c>
      <c r="F17" s="22" t="s">
        <v>25</v>
      </c>
      <c r="G17" s="23" t="s">
        <v>75</v>
      </c>
      <c r="H17" s="23" t="s">
        <v>69</v>
      </c>
      <c r="I17" s="23">
        <f>'MERCADO TE'!$U$14</f>
        <v>0</v>
      </c>
      <c r="J17" s="15"/>
      <c r="L17" s="20">
        <f>1 - CUSTOS!$M$25</f>
        <v>1</v>
      </c>
      <c r="M17" s="20">
        <f>1 - CUSTOS!$M$25</f>
        <v>1</v>
      </c>
      <c r="N17" s="20">
        <f>1 - CUSTOS!$M$25</f>
        <v>1</v>
      </c>
      <c r="O17" s="20">
        <f>1 - CUSTOS!$M$25</f>
        <v>1</v>
      </c>
      <c r="P17" s="20">
        <f>1 - CUSTOS!$M$25</f>
        <v>1</v>
      </c>
      <c r="Q17" s="20"/>
      <c r="R17" s="20">
        <f>(1 - CUSTOS!$M$25)*1</f>
        <v>1</v>
      </c>
      <c r="S17" s="20"/>
      <c r="T17" s="20">
        <f>1 - CUSTOS!$M$25</f>
        <v>1</v>
      </c>
      <c r="U17" s="20">
        <f>1 - CUSTOS!$M$25</f>
        <v>1</v>
      </c>
      <c r="V17" s="20">
        <f>1 - CUSTOS!$M$25</f>
        <v>1</v>
      </c>
      <c r="W17" s="20"/>
      <c r="X17" s="20"/>
      <c r="Y17" s="20"/>
      <c r="Z17" s="20">
        <f>1 - CUSTOS!$M$25</f>
        <v>1</v>
      </c>
      <c r="AA17" s="20"/>
      <c r="AB17" s="20"/>
    </row>
    <row r="18" spans="1:28" ht="11.25" customHeight="1" x14ac:dyDescent="0.3">
      <c r="A18" s="96"/>
      <c r="B18" s="96"/>
      <c r="C18" s="96"/>
      <c r="D18" s="22" t="s">
        <v>31</v>
      </c>
      <c r="E18" s="22" t="s">
        <v>25</v>
      </c>
      <c r="F18" s="22" t="s">
        <v>25</v>
      </c>
      <c r="G18" s="23" t="s">
        <v>75</v>
      </c>
      <c r="H18" s="23" t="s">
        <v>69</v>
      </c>
      <c r="I18" s="23">
        <f>'MERCADO TE'!$U$15</f>
        <v>0</v>
      </c>
      <c r="J18" s="15"/>
      <c r="L18" s="20">
        <f>1 - CUSTOS!$M$26</f>
        <v>1</v>
      </c>
      <c r="M18" s="20">
        <f>1 - CUSTOS!$M$26</f>
        <v>1</v>
      </c>
      <c r="N18" s="20">
        <f>1 - CUSTOS!$M$26</f>
        <v>1</v>
      </c>
      <c r="O18" s="20">
        <f>1 - CUSTOS!$M$26</f>
        <v>1</v>
      </c>
      <c r="P18" s="20">
        <f>1 - CUSTOS!$M$26</f>
        <v>1</v>
      </c>
      <c r="Q18" s="20"/>
      <c r="R18" s="20">
        <f>(1 - CUSTOS!$M$26)*1</f>
        <v>1</v>
      </c>
      <c r="S18" s="20"/>
      <c r="T18" s="20">
        <f>1 - CUSTOS!$M$26</f>
        <v>1</v>
      </c>
      <c r="U18" s="20">
        <f>1 - CUSTOS!$M$26</f>
        <v>1</v>
      </c>
      <c r="V18" s="20">
        <f>1 - CUSTOS!$M$26</f>
        <v>1</v>
      </c>
      <c r="W18" s="20"/>
      <c r="X18" s="20"/>
      <c r="Y18" s="20"/>
      <c r="Z18" s="20">
        <f>1 - CUSTOS!$M$26</f>
        <v>1</v>
      </c>
      <c r="AA18" s="20"/>
      <c r="AB18" s="20"/>
    </row>
    <row r="19" spans="1:28" ht="11.25" customHeight="1" x14ac:dyDescent="0.3">
      <c r="A19" s="96"/>
      <c r="B19" s="96"/>
      <c r="C19" s="96"/>
      <c r="D19" s="22" t="s">
        <v>32</v>
      </c>
      <c r="E19" s="22" t="s">
        <v>25</v>
      </c>
      <c r="F19" s="22" t="s">
        <v>25</v>
      </c>
      <c r="G19" s="23" t="s">
        <v>75</v>
      </c>
      <c r="H19" s="23" t="s">
        <v>69</v>
      </c>
      <c r="I19" s="23">
        <f>'MERCADO TE'!$U$16</f>
        <v>0</v>
      </c>
      <c r="J19" s="15"/>
      <c r="L19" s="20">
        <f>1 - CUSTOS!$M$27</f>
        <v>1</v>
      </c>
      <c r="M19" s="20">
        <f>1 - CUSTOS!$M$27</f>
        <v>1</v>
      </c>
      <c r="N19" s="20">
        <f>1 - CUSTOS!$M$27</f>
        <v>1</v>
      </c>
      <c r="O19" s="20">
        <f>1 - CUSTOS!$M$27</f>
        <v>1</v>
      </c>
      <c r="P19" s="20">
        <f>1 - CUSTOS!$M$27</f>
        <v>1</v>
      </c>
      <c r="Q19" s="20"/>
      <c r="R19" s="20">
        <f>(1 - CUSTOS!$M$27)*1</f>
        <v>1</v>
      </c>
      <c r="S19" s="20"/>
      <c r="T19" s="20">
        <f>1 - CUSTOS!$M$27</f>
        <v>1</v>
      </c>
      <c r="U19" s="20">
        <f>1 - CUSTOS!$M$27</f>
        <v>1</v>
      </c>
      <c r="V19" s="20">
        <f>1 - CUSTOS!$M$27</f>
        <v>1</v>
      </c>
      <c r="W19" s="20"/>
      <c r="X19" s="20"/>
      <c r="Y19" s="20"/>
      <c r="Z19" s="20">
        <f>1 - CUSTOS!$M$27</f>
        <v>1</v>
      </c>
      <c r="AA19" s="20"/>
      <c r="AB19" s="20"/>
    </row>
    <row r="20" spans="1:28" ht="11.25" customHeight="1" x14ac:dyDescent="0.3">
      <c r="A20" s="96" t="s">
        <v>42</v>
      </c>
      <c r="B20" s="96" t="s">
        <v>68</v>
      </c>
      <c r="C20" s="96" t="s">
        <v>43</v>
      </c>
      <c r="D20" s="96" t="s">
        <v>25</v>
      </c>
      <c r="E20" s="96" t="s">
        <v>25</v>
      </c>
      <c r="F20" s="96" t="s">
        <v>25</v>
      </c>
      <c r="G20" s="23" t="s">
        <v>70</v>
      </c>
      <c r="H20" s="23" t="s">
        <v>69</v>
      </c>
      <c r="I20" s="23">
        <f>'MERCADO TE'!$U$17</f>
        <v>0</v>
      </c>
      <c r="J20" s="15"/>
      <c r="L20" s="20">
        <f>1 - CUSTOS!$M$28</f>
        <v>1</v>
      </c>
      <c r="M20" s="20">
        <f>1 - CUSTOS!$M$28</f>
        <v>1</v>
      </c>
      <c r="N20" s="20">
        <f>1 - CUSTOS!$M$28</f>
        <v>1</v>
      </c>
      <c r="O20" s="20">
        <f>1 - CUSTOS!$M$28</f>
        <v>1</v>
      </c>
      <c r="P20" s="20">
        <f>1 - CUSTOS!$M$28</f>
        <v>1</v>
      </c>
      <c r="Q20" s="20"/>
      <c r="R20" s="20">
        <f>(1 - CUSTOS!$M$28)*1</f>
        <v>1</v>
      </c>
      <c r="S20" s="20"/>
      <c r="T20" s="20">
        <f>1 - CUSTOS!$M$28</f>
        <v>1</v>
      </c>
      <c r="U20" s="20">
        <f>1 - CUSTOS!$M$28</f>
        <v>1</v>
      </c>
      <c r="V20" s="20">
        <f>1 - CUSTOS!$M$28</f>
        <v>1</v>
      </c>
      <c r="W20" s="20"/>
      <c r="X20" s="20"/>
      <c r="Y20" s="20"/>
      <c r="Z20" s="20">
        <f>1 - CUSTOS!$M$28</f>
        <v>1</v>
      </c>
      <c r="AA20" s="20"/>
      <c r="AB20" s="20"/>
    </row>
    <row r="21" spans="1:28" ht="11.25" customHeight="1" x14ac:dyDescent="0.3">
      <c r="A21" s="96"/>
      <c r="B21" s="96"/>
      <c r="C21" s="96"/>
      <c r="D21" s="96"/>
      <c r="E21" s="96"/>
      <c r="F21" s="96"/>
      <c r="G21" s="23" t="s">
        <v>81</v>
      </c>
      <c r="H21" s="23" t="s">
        <v>69</v>
      </c>
      <c r="I21" s="23">
        <f>'MERCADO TE'!$U$18</f>
        <v>0</v>
      </c>
      <c r="J21" s="15"/>
      <c r="L21" s="20">
        <f>1 - CUSTOS!$M$28</f>
        <v>1</v>
      </c>
      <c r="M21" s="20">
        <f>1 - CUSTOS!$M$28</f>
        <v>1</v>
      </c>
      <c r="N21" s="20">
        <f>1 - CUSTOS!$M$28</f>
        <v>1</v>
      </c>
      <c r="O21" s="20">
        <f>1 - CUSTOS!$M$28</f>
        <v>1</v>
      </c>
      <c r="P21" s="20">
        <f>1 - CUSTOS!$M$28</f>
        <v>1</v>
      </c>
      <c r="Q21" s="20"/>
      <c r="R21" s="20">
        <f>(1 - CUSTOS!$M$28)*1</f>
        <v>1</v>
      </c>
      <c r="S21" s="20"/>
      <c r="T21" s="20">
        <f>1 - CUSTOS!$M$28</f>
        <v>1</v>
      </c>
      <c r="U21" s="20">
        <f>1 - CUSTOS!$M$28</f>
        <v>1</v>
      </c>
      <c r="V21" s="20">
        <f>1 - CUSTOS!$M$28</f>
        <v>1</v>
      </c>
      <c r="W21" s="20"/>
      <c r="X21" s="20"/>
      <c r="Y21" s="20"/>
      <c r="Z21" s="20">
        <f>1 - CUSTOS!$M$28</f>
        <v>1</v>
      </c>
      <c r="AA21" s="20"/>
      <c r="AB21" s="20"/>
    </row>
    <row r="22" spans="1:28" ht="11.25" customHeight="1" x14ac:dyDescent="0.3">
      <c r="A22" s="96"/>
      <c r="B22" s="96"/>
      <c r="C22" s="96"/>
      <c r="D22" s="96"/>
      <c r="E22" s="96"/>
      <c r="F22" s="96"/>
      <c r="G22" s="23" t="s">
        <v>71</v>
      </c>
      <c r="H22" s="23" t="s">
        <v>69</v>
      </c>
      <c r="I22" s="23">
        <f>'MERCADO TE'!$U$19</f>
        <v>0</v>
      </c>
      <c r="J22" s="15"/>
      <c r="L22" s="20">
        <f>1 - CUSTOS!$M$28</f>
        <v>1</v>
      </c>
      <c r="M22" s="20">
        <f>1 - CUSTOS!$M$28</f>
        <v>1</v>
      </c>
      <c r="N22" s="20">
        <f>1 - CUSTOS!$M$28</f>
        <v>1</v>
      </c>
      <c r="O22" s="20">
        <f>1 - CUSTOS!$M$28</f>
        <v>1</v>
      </c>
      <c r="P22" s="20">
        <f>1 - CUSTOS!$M$28</f>
        <v>1</v>
      </c>
      <c r="Q22" s="20"/>
      <c r="R22" s="20">
        <f>(1 - CUSTOS!$M$28)*1</f>
        <v>1</v>
      </c>
      <c r="S22" s="20"/>
      <c r="T22" s="20">
        <f>1 - CUSTOS!$M$28</f>
        <v>1</v>
      </c>
      <c r="U22" s="20">
        <f>1 - CUSTOS!$M$28</f>
        <v>1</v>
      </c>
      <c r="V22" s="20">
        <f>1 - CUSTOS!$M$28</f>
        <v>1</v>
      </c>
      <c r="W22" s="20"/>
      <c r="X22" s="20"/>
      <c r="Y22" s="20"/>
      <c r="Z22" s="20">
        <f>1 - CUSTOS!$M$28</f>
        <v>1</v>
      </c>
      <c r="AA22" s="20"/>
      <c r="AB22" s="20"/>
    </row>
    <row r="23" spans="1:28" ht="11.25" customHeight="1" x14ac:dyDescent="0.3">
      <c r="A23" s="96"/>
      <c r="B23" s="22" t="s">
        <v>82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75</v>
      </c>
      <c r="H23" s="23" t="s">
        <v>69</v>
      </c>
      <c r="I23" s="23">
        <f>'MERCADO TE'!$U$20</f>
        <v>3371.0129999999999</v>
      </c>
      <c r="J23" s="15"/>
      <c r="L23" s="20">
        <f>1 - CUSTOS!$M$28</f>
        <v>1</v>
      </c>
      <c r="M23" s="20">
        <f>1 - CUSTOS!$M$28</f>
        <v>1</v>
      </c>
      <c r="N23" s="20">
        <f>1 - CUSTOS!$M$28</f>
        <v>1</v>
      </c>
      <c r="O23" s="20">
        <f>1 - CUSTOS!$M$28</f>
        <v>1</v>
      </c>
      <c r="P23" s="20">
        <f>1 - CUSTOS!$M$28</f>
        <v>1</v>
      </c>
      <c r="Q23" s="20"/>
      <c r="R23" s="20">
        <f>(1 - CUSTOS!$M$28)*1</f>
        <v>1</v>
      </c>
      <c r="S23" s="20"/>
      <c r="T23" s="20">
        <f>1 - CUSTOS!$M$28</f>
        <v>1</v>
      </c>
      <c r="U23" s="20">
        <f>1 - CUSTOS!$M$28</f>
        <v>1</v>
      </c>
      <c r="V23" s="20">
        <f>1 - CUSTOS!$M$28</f>
        <v>1</v>
      </c>
      <c r="W23" s="20"/>
      <c r="X23" s="20"/>
      <c r="Y23" s="20"/>
      <c r="Z23" s="20">
        <f>1 - CUSTOS!$M$28</f>
        <v>1</v>
      </c>
      <c r="AA23" s="20"/>
      <c r="AB23" s="20"/>
    </row>
    <row r="24" spans="1:28" ht="11.25" customHeight="1" x14ac:dyDescent="0.3">
      <c r="A24" s="96"/>
      <c r="B24" s="96" t="s">
        <v>68</v>
      </c>
      <c r="C24" s="96" t="s">
        <v>43</v>
      </c>
      <c r="D24" s="96" t="s">
        <v>85</v>
      </c>
      <c r="E24" s="96" t="s">
        <v>25</v>
      </c>
      <c r="F24" s="96" t="s">
        <v>25</v>
      </c>
      <c r="G24" s="23" t="s">
        <v>70</v>
      </c>
      <c r="H24" s="23" t="s">
        <v>69</v>
      </c>
      <c r="I24" s="23">
        <f>'MERCADO TE'!$U$21</f>
        <v>0</v>
      </c>
      <c r="J24" s="15"/>
      <c r="L24" s="20">
        <f>1 - CUSTOS!$M$29</f>
        <v>1</v>
      </c>
      <c r="M24" s="20">
        <f>1 - CUSTOS!$M$29</f>
        <v>1</v>
      </c>
      <c r="N24" s="20">
        <f>1 - CUSTOS!$M$29</f>
        <v>1</v>
      </c>
      <c r="O24" s="20">
        <f>1 - CUSTOS!$M$29</f>
        <v>1</v>
      </c>
      <c r="P24" s="20">
        <f>1 - CUSTOS!$M$29</f>
        <v>1</v>
      </c>
      <c r="Q24" s="20"/>
      <c r="R24" s="20">
        <f>(1 - CUSTOS!$M$29)*1</f>
        <v>1</v>
      </c>
      <c r="S24" s="20"/>
      <c r="T24" s="20">
        <f>1 - CUSTOS!$M$29</f>
        <v>1</v>
      </c>
      <c r="U24" s="20">
        <f>1 - CUSTOS!$M$29</f>
        <v>1</v>
      </c>
      <c r="V24" s="20">
        <f>1 - CUSTOS!$M$29</f>
        <v>1</v>
      </c>
      <c r="W24" s="20"/>
      <c r="X24" s="20"/>
      <c r="Y24" s="20"/>
      <c r="Z24" s="20">
        <f>1 - CUSTOS!$M$29</f>
        <v>1</v>
      </c>
      <c r="AA24" s="20"/>
      <c r="AB24" s="20"/>
    </row>
    <row r="25" spans="1:28" ht="11.25" customHeight="1" x14ac:dyDescent="0.3">
      <c r="A25" s="96"/>
      <c r="B25" s="96"/>
      <c r="C25" s="96"/>
      <c r="D25" s="96"/>
      <c r="E25" s="96"/>
      <c r="F25" s="96"/>
      <c r="G25" s="23" t="s">
        <v>81</v>
      </c>
      <c r="H25" s="23" t="s">
        <v>69</v>
      </c>
      <c r="I25" s="23">
        <f>'MERCADO TE'!$U$22</f>
        <v>0</v>
      </c>
      <c r="J25" s="15"/>
      <c r="L25" s="20">
        <f>1 - CUSTOS!$M$29</f>
        <v>1</v>
      </c>
      <c r="M25" s="20">
        <f>1 - CUSTOS!$M$29</f>
        <v>1</v>
      </c>
      <c r="N25" s="20">
        <f>1 - CUSTOS!$M$29</f>
        <v>1</v>
      </c>
      <c r="O25" s="20">
        <f>1 - CUSTOS!$M$29</f>
        <v>1</v>
      </c>
      <c r="P25" s="20">
        <f>1 - CUSTOS!$M$29</f>
        <v>1</v>
      </c>
      <c r="Q25" s="20"/>
      <c r="R25" s="20">
        <f>(1 - CUSTOS!$M$29)*1</f>
        <v>1</v>
      </c>
      <c r="S25" s="20"/>
      <c r="T25" s="20">
        <f>1 - CUSTOS!$M$29</f>
        <v>1</v>
      </c>
      <c r="U25" s="20">
        <f>1 - CUSTOS!$M$29</f>
        <v>1</v>
      </c>
      <c r="V25" s="20">
        <f>1 - CUSTOS!$M$29</f>
        <v>1</v>
      </c>
      <c r="W25" s="20"/>
      <c r="X25" s="20"/>
      <c r="Y25" s="20"/>
      <c r="Z25" s="20">
        <f>1 - CUSTOS!$M$29</f>
        <v>1</v>
      </c>
      <c r="AA25" s="20"/>
      <c r="AB25" s="20"/>
    </row>
    <row r="26" spans="1:28" ht="11.25" customHeight="1" x14ac:dyDescent="0.3">
      <c r="A26" s="96"/>
      <c r="B26" s="96"/>
      <c r="C26" s="96"/>
      <c r="D26" s="96"/>
      <c r="E26" s="96"/>
      <c r="F26" s="96"/>
      <c r="G26" s="23" t="s">
        <v>71</v>
      </c>
      <c r="H26" s="23" t="s">
        <v>69</v>
      </c>
      <c r="I26" s="23">
        <f>'MERCADO TE'!$U$23</f>
        <v>0</v>
      </c>
      <c r="J26" s="15"/>
      <c r="L26" s="20">
        <f>1 - CUSTOS!$M$29</f>
        <v>1</v>
      </c>
      <c r="M26" s="20">
        <f>1 - CUSTOS!$M$29</f>
        <v>1</v>
      </c>
      <c r="N26" s="20">
        <f>1 - CUSTOS!$M$29</f>
        <v>1</v>
      </c>
      <c r="O26" s="20">
        <f>1 - CUSTOS!$M$29</f>
        <v>1</v>
      </c>
      <c r="P26" s="20">
        <f>1 - CUSTOS!$M$29</f>
        <v>1</v>
      </c>
      <c r="Q26" s="20"/>
      <c r="R26" s="20">
        <f>(1 - CUSTOS!$M$29)*1</f>
        <v>1</v>
      </c>
      <c r="S26" s="20"/>
      <c r="T26" s="20">
        <f>1 - CUSTOS!$M$29</f>
        <v>1</v>
      </c>
      <c r="U26" s="20">
        <f>1 - CUSTOS!$M$29</f>
        <v>1</v>
      </c>
      <c r="V26" s="20">
        <f>1 - CUSTOS!$M$29</f>
        <v>1</v>
      </c>
      <c r="W26" s="20"/>
      <c r="X26" s="20"/>
      <c r="Y26" s="20"/>
      <c r="Z26" s="20">
        <f>1 - CUSTOS!$M$29</f>
        <v>1</v>
      </c>
      <c r="AA26" s="20"/>
      <c r="AB26" s="20"/>
    </row>
    <row r="27" spans="1:28" ht="11.25" customHeight="1" x14ac:dyDescent="0.3">
      <c r="A27" s="96"/>
      <c r="B27" s="22" t="s">
        <v>82</v>
      </c>
      <c r="C27" s="22" t="s">
        <v>43</v>
      </c>
      <c r="D27" s="22" t="s">
        <v>85</v>
      </c>
      <c r="E27" s="22" t="s">
        <v>25</v>
      </c>
      <c r="F27" s="22" t="s">
        <v>25</v>
      </c>
      <c r="G27" s="23" t="s">
        <v>75</v>
      </c>
      <c r="H27" s="23" t="s">
        <v>69</v>
      </c>
      <c r="I27" s="23">
        <f>'MERCADO TE'!$U$24</f>
        <v>0</v>
      </c>
      <c r="J27" s="15"/>
      <c r="L27" s="20">
        <f>1 - CUSTOS!$M$29</f>
        <v>1</v>
      </c>
      <c r="M27" s="20">
        <f>1 - CUSTOS!$M$29</f>
        <v>1</v>
      </c>
      <c r="N27" s="20">
        <f>1 - CUSTOS!$M$29</f>
        <v>1</v>
      </c>
      <c r="O27" s="20">
        <f>1 - CUSTOS!$M$29</f>
        <v>1</v>
      </c>
      <c r="P27" s="20">
        <f>1 - CUSTOS!$M$29</f>
        <v>1</v>
      </c>
      <c r="Q27" s="20"/>
      <c r="R27" s="20">
        <f>(1 - CUSTOS!$M$29)*1</f>
        <v>1</v>
      </c>
      <c r="S27" s="20"/>
      <c r="T27" s="20">
        <f>1 - CUSTOS!$M$29</f>
        <v>1</v>
      </c>
      <c r="U27" s="20">
        <f>1 - CUSTOS!$M$29</f>
        <v>1</v>
      </c>
      <c r="V27" s="20">
        <f>1 - CUSTOS!$M$29</f>
        <v>1</v>
      </c>
      <c r="W27" s="20"/>
      <c r="X27" s="20"/>
      <c r="Y27" s="20"/>
      <c r="Z27" s="20">
        <f>1 - CUSTOS!$M$29</f>
        <v>1</v>
      </c>
      <c r="AA27" s="20"/>
      <c r="AB27" s="20"/>
    </row>
    <row r="28" spans="1:28" ht="11.25" customHeight="1" x14ac:dyDescent="0.3">
      <c r="A28" s="96"/>
      <c r="B28" s="96" t="s">
        <v>68</v>
      </c>
      <c r="C28" s="96" t="s">
        <v>43</v>
      </c>
      <c r="D28" s="96" t="s">
        <v>86</v>
      </c>
      <c r="E28" s="96" t="s">
        <v>25</v>
      </c>
      <c r="F28" s="96" t="s">
        <v>25</v>
      </c>
      <c r="G28" s="23" t="s">
        <v>70</v>
      </c>
      <c r="H28" s="23" t="s">
        <v>69</v>
      </c>
      <c r="I28" s="23">
        <f>'MERCADO TE'!$U$25</f>
        <v>0</v>
      </c>
      <c r="J28" s="15"/>
      <c r="L28" s="20">
        <f>1 - CUSTOS!$M$30</f>
        <v>1</v>
      </c>
      <c r="M28" s="20">
        <f>1 - CUSTOS!$M$30</f>
        <v>1</v>
      </c>
      <c r="N28" s="20">
        <f>1 - CUSTOS!$M$30</f>
        <v>1</v>
      </c>
      <c r="O28" s="20">
        <f>1 - CUSTOS!$M$30</f>
        <v>1</v>
      </c>
      <c r="P28" s="20">
        <f>1 - CUSTOS!$M$30</f>
        <v>1</v>
      </c>
      <c r="Q28" s="20"/>
      <c r="R28" s="20">
        <f>(1 - CUSTOS!$M$30)*1</f>
        <v>1</v>
      </c>
      <c r="S28" s="20"/>
      <c r="T28" s="20">
        <f>1 - CUSTOS!$M$30</f>
        <v>1</v>
      </c>
      <c r="U28" s="20">
        <f>1 - CUSTOS!$M$30</f>
        <v>1</v>
      </c>
      <c r="V28" s="20">
        <f>1 - CUSTOS!$M$30</f>
        <v>1</v>
      </c>
      <c r="W28" s="20"/>
      <c r="X28" s="20"/>
      <c r="Y28" s="20"/>
      <c r="Z28" s="20">
        <f>1 - CUSTOS!$M$30</f>
        <v>1</v>
      </c>
      <c r="AA28" s="20"/>
      <c r="AB28" s="20"/>
    </row>
    <row r="29" spans="1:28" ht="11.25" customHeight="1" x14ac:dyDescent="0.3">
      <c r="A29" s="96"/>
      <c r="B29" s="96"/>
      <c r="C29" s="96"/>
      <c r="D29" s="96"/>
      <c r="E29" s="96"/>
      <c r="F29" s="96"/>
      <c r="G29" s="23" t="s">
        <v>81</v>
      </c>
      <c r="H29" s="23" t="s">
        <v>69</v>
      </c>
      <c r="I29" s="23">
        <f>'MERCADO TE'!$U$26</f>
        <v>0</v>
      </c>
      <c r="J29" s="15"/>
      <c r="L29" s="20">
        <f>1 - CUSTOS!$M$30</f>
        <v>1</v>
      </c>
      <c r="M29" s="20">
        <f>1 - CUSTOS!$M$30</f>
        <v>1</v>
      </c>
      <c r="N29" s="20">
        <f>1 - CUSTOS!$M$30</f>
        <v>1</v>
      </c>
      <c r="O29" s="20">
        <f>1 - CUSTOS!$M$30</f>
        <v>1</v>
      </c>
      <c r="P29" s="20">
        <f>1 - CUSTOS!$M$30</f>
        <v>1</v>
      </c>
      <c r="Q29" s="20"/>
      <c r="R29" s="20">
        <f>(1 - CUSTOS!$M$30)*1</f>
        <v>1</v>
      </c>
      <c r="S29" s="20"/>
      <c r="T29" s="20">
        <f>1 - CUSTOS!$M$30</f>
        <v>1</v>
      </c>
      <c r="U29" s="20">
        <f>1 - CUSTOS!$M$30</f>
        <v>1</v>
      </c>
      <c r="V29" s="20">
        <f>1 - CUSTOS!$M$30</f>
        <v>1</v>
      </c>
      <c r="W29" s="20"/>
      <c r="X29" s="20"/>
      <c r="Y29" s="20"/>
      <c r="Z29" s="20">
        <f>1 - CUSTOS!$M$30</f>
        <v>1</v>
      </c>
      <c r="AA29" s="20"/>
      <c r="AB29" s="20"/>
    </row>
    <row r="30" spans="1:28" ht="11.25" customHeight="1" x14ac:dyDescent="0.3">
      <c r="A30" s="96"/>
      <c r="B30" s="96"/>
      <c r="C30" s="96"/>
      <c r="D30" s="96"/>
      <c r="E30" s="96"/>
      <c r="F30" s="96"/>
      <c r="G30" s="23" t="s">
        <v>71</v>
      </c>
      <c r="H30" s="23" t="s">
        <v>69</v>
      </c>
      <c r="I30" s="23">
        <f>'MERCADO TE'!$U$27</f>
        <v>0</v>
      </c>
      <c r="J30" s="15"/>
      <c r="L30" s="20">
        <f>1 - CUSTOS!$M$30</f>
        <v>1</v>
      </c>
      <c r="M30" s="20">
        <f>1 - CUSTOS!$M$30</f>
        <v>1</v>
      </c>
      <c r="N30" s="20">
        <f>1 - CUSTOS!$M$30</f>
        <v>1</v>
      </c>
      <c r="O30" s="20">
        <f>1 - CUSTOS!$M$30</f>
        <v>1</v>
      </c>
      <c r="P30" s="20">
        <f>1 - CUSTOS!$M$30</f>
        <v>1</v>
      </c>
      <c r="Q30" s="20"/>
      <c r="R30" s="20">
        <f>(1 - CUSTOS!$M$30)*1</f>
        <v>1</v>
      </c>
      <c r="S30" s="20"/>
      <c r="T30" s="20">
        <f>1 - CUSTOS!$M$30</f>
        <v>1</v>
      </c>
      <c r="U30" s="20">
        <f>1 - CUSTOS!$M$30</f>
        <v>1</v>
      </c>
      <c r="V30" s="20">
        <f>1 - CUSTOS!$M$30</f>
        <v>1</v>
      </c>
      <c r="W30" s="20"/>
      <c r="X30" s="20"/>
      <c r="Y30" s="20"/>
      <c r="Z30" s="20">
        <f>1 - CUSTOS!$M$30</f>
        <v>1</v>
      </c>
      <c r="AA30" s="20"/>
      <c r="AB30" s="20"/>
    </row>
    <row r="31" spans="1:28" ht="11.25" customHeight="1" x14ac:dyDescent="0.3">
      <c r="A31" s="96"/>
      <c r="B31" s="22" t="s">
        <v>82</v>
      </c>
      <c r="C31" s="22" t="s">
        <v>43</v>
      </c>
      <c r="D31" s="22" t="s">
        <v>86</v>
      </c>
      <c r="E31" s="22" t="s">
        <v>25</v>
      </c>
      <c r="F31" s="22" t="s">
        <v>25</v>
      </c>
      <c r="G31" s="23" t="s">
        <v>75</v>
      </c>
      <c r="H31" s="23" t="s">
        <v>69</v>
      </c>
      <c r="I31" s="23">
        <f>'MERCADO TE'!$U$28</f>
        <v>0</v>
      </c>
      <c r="J31" s="15"/>
      <c r="L31" s="20">
        <f>1 - CUSTOS!$M$30</f>
        <v>1</v>
      </c>
      <c r="M31" s="20">
        <f>1 - CUSTOS!$M$30</f>
        <v>1</v>
      </c>
      <c r="N31" s="20">
        <f>1 - CUSTOS!$M$30</f>
        <v>1</v>
      </c>
      <c r="O31" s="20">
        <f>1 - CUSTOS!$M$30</f>
        <v>1</v>
      </c>
      <c r="P31" s="20">
        <f>1 - CUSTOS!$M$30</f>
        <v>1</v>
      </c>
      <c r="Q31" s="20"/>
      <c r="R31" s="20">
        <f>(1 - CUSTOS!$M$30)*1</f>
        <v>1</v>
      </c>
      <c r="S31" s="20"/>
      <c r="T31" s="20">
        <f>1 - CUSTOS!$M$30</f>
        <v>1</v>
      </c>
      <c r="U31" s="20">
        <f>1 - CUSTOS!$M$30</f>
        <v>1</v>
      </c>
      <c r="V31" s="20">
        <f>1 - CUSTOS!$M$30</f>
        <v>1</v>
      </c>
      <c r="W31" s="20"/>
      <c r="X31" s="20"/>
      <c r="Y31" s="20"/>
      <c r="Z31" s="20">
        <f>1 - CUSTOS!$M$30</f>
        <v>1</v>
      </c>
      <c r="AA31" s="20"/>
      <c r="AB31" s="20"/>
    </row>
    <row r="32" spans="1:28" ht="11.25" customHeight="1" x14ac:dyDescent="0.3">
      <c r="A32" s="96"/>
      <c r="B32" s="96" t="s">
        <v>83</v>
      </c>
      <c r="C32" s="96" t="s">
        <v>43</v>
      </c>
      <c r="D32" s="22" t="s">
        <v>25</v>
      </c>
      <c r="E32" s="22" t="s">
        <v>25</v>
      </c>
      <c r="F32" s="22" t="s">
        <v>25</v>
      </c>
      <c r="G32" s="23" t="s">
        <v>75</v>
      </c>
      <c r="H32" s="23" t="s">
        <v>69</v>
      </c>
      <c r="I32" s="23">
        <f>'MERCADO TE'!$U$29</f>
        <v>0</v>
      </c>
      <c r="J32" s="15"/>
      <c r="L32" s="20">
        <f>1 - CUSTOS!$M$28</f>
        <v>1</v>
      </c>
      <c r="M32" s="20">
        <f>1 - CUSTOS!$M$28</f>
        <v>1</v>
      </c>
      <c r="N32" s="20">
        <f>1 - CUSTOS!$M$28</f>
        <v>1</v>
      </c>
      <c r="O32" s="20">
        <f>1 - CUSTOS!$M$28</f>
        <v>1</v>
      </c>
      <c r="P32" s="20">
        <f>1 - CUSTOS!$M$28</f>
        <v>1</v>
      </c>
      <c r="Q32" s="20"/>
      <c r="R32" s="20">
        <f>(1 - CUSTOS!$M$28)*1</f>
        <v>1</v>
      </c>
      <c r="S32" s="20"/>
      <c r="T32" s="20">
        <f>1 - CUSTOS!$M$28</f>
        <v>1</v>
      </c>
      <c r="U32" s="20">
        <f>1 - CUSTOS!$M$28</f>
        <v>1</v>
      </c>
      <c r="V32" s="20">
        <f>1 - CUSTOS!$M$28</f>
        <v>1</v>
      </c>
      <c r="W32" s="20"/>
      <c r="X32" s="20"/>
      <c r="Y32" s="20"/>
      <c r="Z32" s="20">
        <f>1 - CUSTOS!$M$28</f>
        <v>1</v>
      </c>
      <c r="AA32" s="20"/>
      <c r="AB32" s="20"/>
    </row>
    <row r="33" spans="1:28" ht="11.25" customHeight="1" x14ac:dyDescent="0.3">
      <c r="A33" s="96"/>
      <c r="B33" s="96"/>
      <c r="C33" s="96"/>
      <c r="D33" s="22" t="s">
        <v>85</v>
      </c>
      <c r="E33" s="22" t="s">
        <v>25</v>
      </c>
      <c r="F33" s="22" t="s">
        <v>25</v>
      </c>
      <c r="G33" s="23" t="s">
        <v>75</v>
      </c>
      <c r="H33" s="23" t="s">
        <v>69</v>
      </c>
      <c r="I33" s="23">
        <f>'MERCADO TE'!$U$30</f>
        <v>0</v>
      </c>
      <c r="J33" s="15"/>
      <c r="L33" s="20">
        <f>1 - CUSTOS!$M$29</f>
        <v>1</v>
      </c>
      <c r="M33" s="20">
        <f>1 - CUSTOS!$M$29</f>
        <v>1</v>
      </c>
      <c r="N33" s="20">
        <f>1 - CUSTOS!$M$29</f>
        <v>1</v>
      </c>
      <c r="O33" s="20">
        <f>1 - CUSTOS!$M$29</f>
        <v>1</v>
      </c>
      <c r="P33" s="20">
        <f>1 - CUSTOS!$M$29</f>
        <v>1</v>
      </c>
      <c r="Q33" s="20"/>
      <c r="R33" s="20">
        <f>(1 - CUSTOS!$M$29)*1</f>
        <v>1</v>
      </c>
      <c r="S33" s="20"/>
      <c r="T33" s="20">
        <f>1 - CUSTOS!$M$29</f>
        <v>1</v>
      </c>
      <c r="U33" s="20">
        <f>1 - CUSTOS!$M$29</f>
        <v>1</v>
      </c>
      <c r="V33" s="20">
        <f>1 - CUSTOS!$M$29</f>
        <v>1</v>
      </c>
      <c r="W33" s="20"/>
      <c r="X33" s="20"/>
      <c r="Y33" s="20"/>
      <c r="Z33" s="20">
        <f>1 - CUSTOS!$M$29</f>
        <v>1</v>
      </c>
      <c r="AA33" s="20"/>
      <c r="AB33" s="20"/>
    </row>
    <row r="34" spans="1:28" ht="11.25" customHeight="1" x14ac:dyDescent="0.3">
      <c r="A34" s="96"/>
      <c r="B34" s="96"/>
      <c r="C34" s="96"/>
      <c r="D34" s="22" t="s">
        <v>86</v>
      </c>
      <c r="E34" s="22" t="s">
        <v>25</v>
      </c>
      <c r="F34" s="22" t="s">
        <v>25</v>
      </c>
      <c r="G34" s="23" t="s">
        <v>75</v>
      </c>
      <c r="H34" s="23" t="s">
        <v>69</v>
      </c>
      <c r="I34" s="23">
        <f>'MERCADO TE'!$U$31</f>
        <v>0</v>
      </c>
      <c r="J34" s="15"/>
      <c r="L34" s="20">
        <f>1 - CUSTOS!$M$30</f>
        <v>1</v>
      </c>
      <c r="M34" s="20">
        <f>1 - CUSTOS!$M$30</f>
        <v>1</v>
      </c>
      <c r="N34" s="20">
        <f>1 - CUSTOS!$M$30</f>
        <v>1</v>
      </c>
      <c r="O34" s="20">
        <f>1 - CUSTOS!$M$30</f>
        <v>1</v>
      </c>
      <c r="P34" s="20">
        <f>1 - CUSTOS!$M$30</f>
        <v>1</v>
      </c>
      <c r="Q34" s="20"/>
      <c r="R34" s="20">
        <f>(1 - CUSTOS!$M$30)*1</f>
        <v>1</v>
      </c>
      <c r="S34" s="20"/>
      <c r="T34" s="20">
        <f>1 - CUSTOS!$M$30</f>
        <v>1</v>
      </c>
      <c r="U34" s="20">
        <f>1 - CUSTOS!$M$30</f>
        <v>1</v>
      </c>
      <c r="V34" s="20">
        <f>1 - CUSTOS!$M$30</f>
        <v>1</v>
      </c>
      <c r="W34" s="20"/>
      <c r="X34" s="20"/>
      <c r="Y34" s="20"/>
      <c r="Z34" s="20">
        <f>1 - CUSTOS!$M$30</f>
        <v>1</v>
      </c>
      <c r="AA34" s="20"/>
      <c r="AB34" s="20"/>
    </row>
    <row r="35" spans="1:28" ht="11.25" customHeight="1" x14ac:dyDescent="0.3">
      <c r="A35" s="96" t="s">
        <v>33</v>
      </c>
      <c r="B35" s="96" t="s">
        <v>68</v>
      </c>
      <c r="C35" s="96" t="s">
        <v>25</v>
      </c>
      <c r="D35" s="96" t="s">
        <v>25</v>
      </c>
      <c r="E35" s="96" t="s">
        <v>25</v>
      </c>
      <c r="F35" s="96" t="s">
        <v>25</v>
      </c>
      <c r="G35" s="23" t="s">
        <v>70</v>
      </c>
      <c r="H35" s="23" t="s">
        <v>69</v>
      </c>
      <c r="I35" s="23">
        <f>'MERCADO TE'!$U$32</f>
        <v>1.0529999999999999</v>
      </c>
      <c r="J35" s="15"/>
      <c r="L35" s="20">
        <f>1 - CUSTOS!$M$31</f>
        <v>1</v>
      </c>
      <c r="M35" s="20">
        <f>1 - CUSTOS!$M$31</f>
        <v>1</v>
      </c>
      <c r="N35" s="20">
        <f>1 - CUSTOS!$M$31</f>
        <v>1</v>
      </c>
      <c r="O35" s="20">
        <f>1 - CUSTOS!$M$31</f>
        <v>1</v>
      </c>
      <c r="P35" s="20">
        <f>1 - CUSTOS!$M$31</f>
        <v>1</v>
      </c>
      <c r="Q35" s="20"/>
      <c r="R35" s="20">
        <f>(1 - CUSTOS!$M$31)*1</f>
        <v>1</v>
      </c>
      <c r="S35" s="20"/>
      <c r="T35" s="20">
        <f>1 - CUSTOS!$M$31</f>
        <v>1</v>
      </c>
      <c r="U35" s="20">
        <f>1 - CUSTOS!$M$31</f>
        <v>1</v>
      </c>
      <c r="V35" s="20">
        <f>1 - CUSTOS!$M$31</f>
        <v>1</v>
      </c>
      <c r="W35" s="20"/>
      <c r="X35" s="20"/>
      <c r="Y35" s="20"/>
      <c r="Z35" s="20">
        <f>1 - CUSTOS!$M$31</f>
        <v>1</v>
      </c>
      <c r="AA35" s="20"/>
      <c r="AB35" s="20"/>
    </row>
    <row r="36" spans="1:28" ht="11.25" customHeight="1" x14ac:dyDescent="0.3">
      <c r="A36" s="96"/>
      <c r="B36" s="96"/>
      <c r="C36" s="96"/>
      <c r="D36" s="96"/>
      <c r="E36" s="96"/>
      <c r="F36" s="96"/>
      <c r="G36" s="23" t="s">
        <v>81</v>
      </c>
      <c r="H36" s="23" t="s">
        <v>69</v>
      </c>
      <c r="I36" s="23">
        <f>'MERCADO TE'!$U$33</f>
        <v>2.1969999999999996</v>
      </c>
      <c r="J36" s="15"/>
      <c r="L36" s="20">
        <f>1 - CUSTOS!$M$31</f>
        <v>1</v>
      </c>
      <c r="M36" s="20">
        <f>1 - CUSTOS!$M$31</f>
        <v>1</v>
      </c>
      <c r="N36" s="20">
        <f>1 - CUSTOS!$M$31</f>
        <v>1</v>
      </c>
      <c r="O36" s="20">
        <f>1 - CUSTOS!$M$31</f>
        <v>1</v>
      </c>
      <c r="P36" s="20">
        <f>1 - CUSTOS!$M$31</f>
        <v>1</v>
      </c>
      <c r="Q36" s="20"/>
      <c r="R36" s="20">
        <f>(1 - CUSTOS!$M$31)*1</f>
        <v>1</v>
      </c>
      <c r="S36" s="20"/>
      <c r="T36" s="20">
        <f>1 - CUSTOS!$M$31</f>
        <v>1</v>
      </c>
      <c r="U36" s="20">
        <f>1 - CUSTOS!$M$31</f>
        <v>1</v>
      </c>
      <c r="V36" s="20">
        <f>1 - CUSTOS!$M$31</f>
        <v>1</v>
      </c>
      <c r="W36" s="20"/>
      <c r="X36" s="20"/>
      <c r="Y36" s="20"/>
      <c r="Z36" s="20">
        <f>1 - CUSTOS!$M$31</f>
        <v>1</v>
      </c>
      <c r="AA36" s="20"/>
      <c r="AB36" s="20"/>
    </row>
    <row r="37" spans="1:28" ht="11.25" customHeight="1" x14ac:dyDescent="0.3">
      <c r="A37" s="96"/>
      <c r="B37" s="96"/>
      <c r="C37" s="96"/>
      <c r="D37" s="96"/>
      <c r="E37" s="96"/>
      <c r="F37" s="96"/>
      <c r="G37" s="23" t="s">
        <v>71</v>
      </c>
      <c r="H37" s="23" t="s">
        <v>69</v>
      </c>
      <c r="I37" s="23">
        <f>'MERCADO TE'!$U$34</f>
        <v>373.07</v>
      </c>
      <c r="J37" s="15"/>
      <c r="L37" s="20">
        <f>1 - CUSTOS!$M$31</f>
        <v>1</v>
      </c>
      <c r="M37" s="20">
        <f>1 - CUSTOS!$M$31</f>
        <v>1</v>
      </c>
      <c r="N37" s="20">
        <f>1 - CUSTOS!$M$31</f>
        <v>1</v>
      </c>
      <c r="O37" s="20">
        <f>1 - CUSTOS!$M$31</f>
        <v>1</v>
      </c>
      <c r="P37" s="20">
        <f>1 - CUSTOS!$M$31</f>
        <v>1</v>
      </c>
      <c r="Q37" s="20"/>
      <c r="R37" s="20">
        <f>(1 - CUSTOS!$M$31)*1</f>
        <v>1</v>
      </c>
      <c r="S37" s="20"/>
      <c r="T37" s="20">
        <f>1 - CUSTOS!$M$31</f>
        <v>1</v>
      </c>
      <c r="U37" s="20">
        <f>1 - CUSTOS!$M$31</f>
        <v>1</v>
      </c>
      <c r="V37" s="20">
        <f>1 - CUSTOS!$M$31</f>
        <v>1</v>
      </c>
      <c r="W37" s="20"/>
      <c r="X37" s="20"/>
      <c r="Y37" s="20"/>
      <c r="Z37" s="20">
        <f>1 - CUSTOS!$M$31</f>
        <v>1</v>
      </c>
      <c r="AA37" s="20"/>
      <c r="AB37" s="20"/>
    </row>
    <row r="38" spans="1:28" ht="11.25" customHeight="1" x14ac:dyDescent="0.3">
      <c r="A38" s="96"/>
      <c r="B38" s="22" t="s">
        <v>82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75</v>
      </c>
      <c r="H38" s="23" t="s">
        <v>69</v>
      </c>
      <c r="I38" s="23">
        <f>'MERCADO TE'!$U$35</f>
        <v>3199.5530000000003</v>
      </c>
      <c r="J38" s="15"/>
      <c r="L38" s="20">
        <f>1 - CUSTOS!$M$31</f>
        <v>1</v>
      </c>
      <c r="M38" s="20">
        <f>1 - CUSTOS!$M$31</f>
        <v>1</v>
      </c>
      <c r="N38" s="20">
        <f>1 - CUSTOS!$M$31</f>
        <v>1</v>
      </c>
      <c r="O38" s="20">
        <f>1 - CUSTOS!$M$31</f>
        <v>1</v>
      </c>
      <c r="P38" s="20">
        <f>1 - CUSTOS!$M$31</f>
        <v>1</v>
      </c>
      <c r="Q38" s="20"/>
      <c r="R38" s="20">
        <f>(1 - CUSTOS!$M$31)*1</f>
        <v>1</v>
      </c>
      <c r="S38" s="20"/>
      <c r="T38" s="20">
        <f>1 - CUSTOS!$M$31</f>
        <v>1</v>
      </c>
      <c r="U38" s="20">
        <f>1 - CUSTOS!$M$31</f>
        <v>1</v>
      </c>
      <c r="V38" s="20">
        <f>1 - CUSTOS!$M$31</f>
        <v>1</v>
      </c>
      <c r="W38" s="20"/>
      <c r="X38" s="20"/>
      <c r="Y38" s="20"/>
      <c r="Z38" s="20">
        <f>1 - CUSTOS!$M$31</f>
        <v>1</v>
      </c>
      <c r="AA38" s="20"/>
      <c r="AB38" s="20"/>
    </row>
    <row r="39" spans="1:28" ht="11.25" customHeight="1" x14ac:dyDescent="0.3">
      <c r="A39" s="96"/>
      <c r="B39" s="22" t="s">
        <v>83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75</v>
      </c>
      <c r="H39" s="23" t="s">
        <v>69</v>
      </c>
      <c r="I39" s="23">
        <f>'MERCADO TE'!$U$36</f>
        <v>0</v>
      </c>
      <c r="J39" s="15"/>
      <c r="L39" s="20">
        <f>1 - CUSTOS!$M$31</f>
        <v>1</v>
      </c>
      <c r="M39" s="20">
        <f>1 - CUSTOS!$M$31</f>
        <v>1</v>
      </c>
      <c r="N39" s="20">
        <f>1 - CUSTOS!$M$31</f>
        <v>1</v>
      </c>
      <c r="O39" s="20">
        <f>1 - CUSTOS!$M$31</f>
        <v>1</v>
      </c>
      <c r="P39" s="20">
        <f>1 - CUSTOS!$M$31</f>
        <v>1</v>
      </c>
      <c r="Q39" s="20"/>
      <c r="R39" s="20">
        <f>(1 - CUSTOS!$M$31)*1</f>
        <v>1</v>
      </c>
      <c r="S39" s="20"/>
      <c r="T39" s="20">
        <f>1 - CUSTOS!$M$31</f>
        <v>1</v>
      </c>
      <c r="U39" s="20">
        <f>1 - CUSTOS!$M$31</f>
        <v>1</v>
      </c>
      <c r="V39" s="20">
        <f>1 - CUSTOS!$M$31</f>
        <v>1</v>
      </c>
      <c r="W39" s="20"/>
      <c r="X39" s="20"/>
      <c r="Y39" s="20"/>
      <c r="Z39" s="20">
        <f>1 - CUSTOS!$M$31</f>
        <v>1</v>
      </c>
      <c r="AA39" s="20"/>
      <c r="AB39" s="20"/>
    </row>
    <row r="40" spans="1:28" ht="11.25" customHeight="1" x14ac:dyDescent="0.3">
      <c r="A40" s="96" t="s">
        <v>45</v>
      </c>
      <c r="B40" s="96" t="s">
        <v>82</v>
      </c>
      <c r="C40" s="96" t="s">
        <v>46</v>
      </c>
      <c r="D40" s="22" t="s">
        <v>47</v>
      </c>
      <c r="E40" s="22" t="s">
        <v>25</v>
      </c>
      <c r="F40" s="22" t="s">
        <v>25</v>
      </c>
      <c r="G40" s="23" t="s">
        <v>75</v>
      </c>
      <c r="H40" s="23" t="s">
        <v>69</v>
      </c>
      <c r="I40" s="23">
        <f>'MERCADO TE'!$U$37</f>
        <v>1010.7439999999999</v>
      </c>
      <c r="J40" s="15"/>
      <c r="L40" s="20">
        <f>1 - CUSTOS!$M$32</f>
        <v>0.55000000000000004</v>
      </c>
      <c r="M40" s="20">
        <f>1 - CUSTOS!$M$32</f>
        <v>0.55000000000000004</v>
      </c>
      <c r="N40" s="20">
        <f>1 - CUSTOS!$M$32</f>
        <v>0.55000000000000004</v>
      </c>
      <c r="O40" s="20">
        <f>1 - CUSTOS!$M$32</f>
        <v>0.55000000000000004</v>
      </c>
      <c r="P40" s="20">
        <f>1 - CUSTOS!$M$32</f>
        <v>0.55000000000000004</v>
      </c>
      <c r="Q40" s="20"/>
      <c r="R40" s="20">
        <f>(1 - CUSTOS!$M$32)*1</f>
        <v>0.55000000000000004</v>
      </c>
      <c r="S40" s="20"/>
      <c r="T40" s="20">
        <f>1 - CUSTOS!$M$32</f>
        <v>0.55000000000000004</v>
      </c>
      <c r="U40" s="20">
        <f>1 - CUSTOS!$M$32</f>
        <v>0.55000000000000004</v>
      </c>
      <c r="V40" s="20">
        <f>1 - CUSTOS!$M$32</f>
        <v>0.55000000000000004</v>
      </c>
      <c r="W40" s="20"/>
      <c r="X40" s="20"/>
      <c r="Y40" s="20"/>
      <c r="Z40" s="20">
        <f>1 - CUSTOS!$M$32</f>
        <v>0.55000000000000004</v>
      </c>
      <c r="AA40" s="20"/>
      <c r="AB40" s="20"/>
    </row>
    <row r="41" spans="1:28" ht="11.25" customHeight="1" x14ac:dyDescent="0.3">
      <c r="A41" s="96"/>
      <c r="B41" s="96"/>
      <c r="C41" s="96"/>
      <c r="D41" s="23" t="s">
        <v>87</v>
      </c>
      <c r="E41" s="23" t="s">
        <v>25</v>
      </c>
      <c r="F41" s="23" t="s">
        <v>25</v>
      </c>
      <c r="G41" s="23" t="s">
        <v>75</v>
      </c>
      <c r="H41" s="23" t="s">
        <v>69</v>
      </c>
      <c r="I41" s="23">
        <f>'MERCADO TE'!$U$38</f>
        <v>0</v>
      </c>
      <c r="J41" s="15"/>
      <c r="L41" s="20">
        <f>1 - CUSTOS!$M$33</f>
        <v>0.6</v>
      </c>
      <c r="M41" s="20">
        <f>1 - CUSTOS!$M$33</f>
        <v>0.6</v>
      </c>
      <c r="N41" s="20">
        <f>1 - CUSTOS!$M$33</f>
        <v>0.6</v>
      </c>
      <c r="O41" s="20">
        <f>1 - CUSTOS!$M$33</f>
        <v>0.6</v>
      </c>
      <c r="P41" s="20">
        <f>1 - CUSTOS!$M$33</f>
        <v>0.6</v>
      </c>
      <c r="Q41" s="20"/>
      <c r="R41" s="20">
        <f>(1 - CUSTOS!$M$33)*1</f>
        <v>0.6</v>
      </c>
      <c r="S41" s="20"/>
      <c r="T41" s="20">
        <f>1 - CUSTOS!$M$33</f>
        <v>0.6</v>
      </c>
      <c r="U41" s="20">
        <f>1 - CUSTOS!$M$33</f>
        <v>0.6</v>
      </c>
      <c r="V41" s="20">
        <f>1 - CUSTOS!$M$33</f>
        <v>0.6</v>
      </c>
      <c r="W41" s="20"/>
      <c r="X41" s="20"/>
      <c r="Y41" s="20"/>
      <c r="Z41" s="20">
        <f>1 - CUSTOS!$M$33</f>
        <v>0.6</v>
      </c>
      <c r="AA41" s="20"/>
      <c r="AB41" s="20"/>
    </row>
    <row r="43" spans="1:28" ht="11.25" customHeight="1" x14ac:dyDescent="0.3">
      <c r="K43" s="25" t="s">
        <v>546</v>
      </c>
      <c r="L43" s="20">
        <f t="shared" ref="L43:AB43" si="0">SUMPRODUCT($I$5:$I$41,L$5:L$41)</f>
        <v>44364.775199999996</v>
      </c>
      <c r="M43" s="20">
        <f t="shared" si="0"/>
        <v>44364.775199999996</v>
      </c>
      <c r="N43" s="20">
        <f t="shared" si="0"/>
        <v>44364.775199999996</v>
      </c>
      <c r="O43" s="20">
        <f t="shared" si="0"/>
        <v>44364.775199999996</v>
      </c>
      <c r="P43" s="20">
        <f t="shared" si="0"/>
        <v>44364.775199999996</v>
      </c>
      <c r="Q43" s="20">
        <f t="shared" si="0"/>
        <v>0</v>
      </c>
      <c r="R43" s="20">
        <f t="shared" si="0"/>
        <v>44364.775199999996</v>
      </c>
      <c r="S43" s="20">
        <f t="shared" si="0"/>
        <v>0</v>
      </c>
      <c r="T43" s="20">
        <f t="shared" si="0"/>
        <v>44364.775199999996</v>
      </c>
      <c r="U43" s="20">
        <f t="shared" si="0"/>
        <v>44364.775199999996</v>
      </c>
      <c r="V43" s="20">
        <f t="shared" si="0"/>
        <v>44364.775199999996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44364.775199999996</v>
      </c>
      <c r="AA43" s="20">
        <f t="shared" si="0"/>
        <v>0</v>
      </c>
      <c r="AB43" s="20">
        <f t="shared" si="0"/>
        <v>0</v>
      </c>
    </row>
    <row r="44" spans="1:28" ht="11.25" customHeight="1" x14ac:dyDescent="0.3">
      <c r="K44" s="25" t="s">
        <v>465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5539840.7838546168</v>
      </c>
      <c r="S44" s="20">
        <f>CUSTOS!$D$37</f>
        <v>5539840.7838546168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5539840.7838546168</v>
      </c>
    </row>
    <row r="45" spans="1:28" ht="11.25" customHeight="1" x14ac:dyDescent="0.3">
      <c r="K45" s="25" t="s">
        <v>466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-101323.58544931212</v>
      </c>
      <c r="S45" s="20">
        <f>CUSTOS!$E$37</f>
        <v>-101323.58544931212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-101323.58544931212</v>
      </c>
    </row>
    <row r="46" spans="1:28" ht="11.25" customHeight="1" x14ac:dyDescent="0.3">
      <c r="K46" s="25" t="s">
        <v>467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3">
      <c r="K47" s="25" t="s">
        <v>547</v>
      </c>
      <c r="L47" s="20">
        <f>IF(SUMPRODUCT($I$5:$I$41,$L$5:$L$41)&lt;&gt;0,L44/SUMPRODUCT($I$5:$I$41,$L$5:$L$41),0)</f>
        <v>0</v>
      </c>
      <c r="M47" s="20">
        <f>IF(SUMPRODUCT($I$5:$I$41,$M$5:$M$41)&lt;&gt;0,M44/SUMPRODUCT($I$5:$I$41,$M$5:$M$41),0)</f>
        <v>0</v>
      </c>
      <c r="N47" s="20">
        <f>IF(SUMPRODUCT($I$5:$I$41,$N$5:$N$41)&lt;&gt;0,N44/SUMPRODUCT($I$5:$I$41,$N$5:$N$41),0)</f>
        <v>0</v>
      </c>
      <c r="O47" s="20">
        <f>IF(SUMPRODUCT($I$5:$I$41,$O$5:$O$41)&lt;&gt;0,O44/SUMPRODUCT($I$5:$I$41,$O$5:$O$41),0)</f>
        <v>0</v>
      </c>
      <c r="P47" s="20">
        <f>IF(SUMPRODUCT($I$5:$I$41,$P$5:$P$41)&lt;&gt;0,P44/SUMPRODUCT($I$5:$I$41,$P$5:$P$41),0)</f>
        <v>0</v>
      </c>
      <c r="Q47" s="20"/>
      <c r="R47" s="20">
        <f>IF((CUSTOS!$M$12-CUSTOS!$M$13)&lt;&gt;0,(CUSTOS!$M$12*CUSTOS!$M$14)/(CUSTOS!$M$12-CUSTOS!$M$13),0)</f>
        <v>125.51814570000002</v>
      </c>
      <c r="S47" s="20"/>
      <c r="T47" s="20">
        <f>IF(SUMPRODUCT($I$5:$I$41,$T$5:$T$41)&lt;&gt;0,T44/SUMPRODUCT($I$5:$I$41,$T$5:$T$41),0)</f>
        <v>0</v>
      </c>
      <c r="U47" s="20">
        <f>IF(SUMPRODUCT($I$5:$I$41,$U$5:$U$41)&lt;&gt;0,U44/SUMPRODUCT($I$5:$I$41,$U$5:$U$41),0)</f>
        <v>0</v>
      </c>
      <c r="V47" s="20">
        <f>IF(SUMPRODUCT($I$5:$I$41,$V$5:$V$41)&lt;&gt;0,V44/SUMPRODUCT($I$5:$I$41,$V$5:$V$41),0)</f>
        <v>0</v>
      </c>
      <c r="W47" s="20"/>
      <c r="X47" s="20">
        <f>IF(SUMPRODUCT($I$5:$I$41,$X$5:$X$41)&lt;&gt;0,X44/SUMPRODUCT($I$5:$I$41,$X$5:$X$41),0)</f>
        <v>0</v>
      </c>
      <c r="Y47" s="20"/>
      <c r="Z47" s="20">
        <f>IF(SUMPRODUCT($I$5:$I$41,$Z$5:$Z$41)&lt;&gt;0,Z44/SUMPRODUCT($I$5:$I$41,$Z$5:$Z$41),0)</f>
        <v>0</v>
      </c>
      <c r="AA47" s="20"/>
      <c r="AB47" s="20"/>
    </row>
    <row r="48" spans="1:28" ht="11.25" customHeight="1" x14ac:dyDescent="0.3">
      <c r="K48" s="25" t="s">
        <v>548</v>
      </c>
      <c r="L48" s="20">
        <f>IF(L43&lt;&gt;0,(L44-L47*0)/(L43-0),0)</f>
        <v>0</v>
      </c>
      <c r="M48" s="20">
        <f>IF(M43&lt;&gt;0,(M44-M47*0)/(M43-0),0)</f>
        <v>0</v>
      </c>
      <c r="N48" s="20">
        <f>IF(N43&lt;&gt;0,(N44-N47*0)/(N43-0),0)</f>
        <v>0</v>
      </c>
      <c r="O48" s="20">
        <f>IF(O43&lt;&gt;0,(O44-O47*0)/(O43-0),0)</f>
        <v>0</v>
      </c>
      <c r="P48" s="20">
        <f>IF(P43&lt;&gt;0,(P44-P47*0)/(P43-0),0)</f>
        <v>0</v>
      </c>
      <c r="Q48" s="20"/>
      <c r="R48" s="20">
        <f>IF(R43&lt;&gt;0,(R44-R47*0)/(R43-0),0)</f>
        <v>124.8702548109523</v>
      </c>
      <c r="S48" s="20"/>
      <c r="T48" s="20">
        <f>IF(T43&lt;&gt;0,(T44-T47*0)/(T43-0),0)</f>
        <v>0</v>
      </c>
      <c r="U48" s="20">
        <f>IF(U43&lt;&gt;0,(U44-U47*0)/(U43-0),0)</f>
        <v>0</v>
      </c>
      <c r="V48" s="20">
        <f>IF(V43&lt;&gt;0,(V44-V47*0)/(V43-0),0)</f>
        <v>0</v>
      </c>
      <c r="W48" s="20"/>
      <c r="X48" s="20">
        <f>IF(X43&lt;&gt;0,(X44-X47*0)/(X43-0),0)</f>
        <v>0</v>
      </c>
      <c r="Y48" s="20"/>
      <c r="Z48" s="20">
        <f>IF(Z43&lt;&gt;0,(Z44-Z47*0)/(Z43-0),0)</f>
        <v>0</v>
      </c>
      <c r="AA48" s="20"/>
      <c r="AB48" s="20"/>
    </row>
    <row r="49" spans="11:28" ht="11.25" customHeight="1" x14ac:dyDescent="0.3">
      <c r="K49" s="25" t="s">
        <v>549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61">
    <mergeCell ref="Z3:AA3"/>
    <mergeCell ref="AB3:AB4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  <mergeCell ref="E35:E37"/>
    <mergeCell ref="F35:F37"/>
    <mergeCell ref="A40:A41"/>
    <mergeCell ref="B40:B41"/>
    <mergeCell ref="C40:C41"/>
    <mergeCell ref="B32:B34"/>
    <mergeCell ref="C32:C34"/>
    <mergeCell ref="A35:A39"/>
    <mergeCell ref="B35:B37"/>
    <mergeCell ref="C35:C37"/>
    <mergeCell ref="D35:D37"/>
    <mergeCell ref="F24:F26"/>
    <mergeCell ref="B28:B30"/>
    <mergeCell ref="C28:C30"/>
    <mergeCell ref="D28:D30"/>
    <mergeCell ref="E28:E30"/>
    <mergeCell ref="F28:F30"/>
    <mergeCell ref="A20:A34"/>
    <mergeCell ref="B20:B22"/>
    <mergeCell ref="C20:C22"/>
    <mergeCell ref="D20:D22"/>
    <mergeCell ref="E20:E22"/>
    <mergeCell ref="F20:F22"/>
    <mergeCell ref="B24:B26"/>
    <mergeCell ref="C24:C26"/>
    <mergeCell ref="D24:D26"/>
    <mergeCell ref="E24:E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F5:F6"/>
    <mergeCell ref="A5:A6"/>
    <mergeCell ref="B5:B6"/>
    <mergeCell ref="C5:C6"/>
    <mergeCell ref="D5:D6"/>
    <mergeCell ref="E5:E6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DE51-CEA3-4569-B566-4208E17EE823}">
  <sheetPr codeName="Planilha13"/>
  <dimension ref="A1:AB49"/>
  <sheetViews>
    <sheetView showGridLines="0" topLeftCell="I25" workbookViewId="0">
      <selection activeCell="AB43" sqref="AB43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20" style="9" bestFit="1" customWidth="1"/>
    <col min="12" max="14" width="7.88671875" style="9" bestFit="1" customWidth="1"/>
    <col min="15" max="15" width="11.109375" style="9" bestFit="1" customWidth="1"/>
    <col min="16" max="16" width="8.109375" style="9" bestFit="1" customWidth="1"/>
    <col min="17" max="17" width="9.33203125" style="9" bestFit="1" customWidth="1"/>
    <col min="18" max="18" width="15" style="9" bestFit="1" customWidth="1"/>
    <col min="19" max="19" width="10" style="9" bestFit="1" customWidth="1"/>
    <col min="20" max="20" width="7.88671875" style="9" bestFit="1" customWidth="1"/>
    <col min="21" max="21" width="10.44140625" style="9" bestFit="1" customWidth="1"/>
    <col min="22" max="22" width="7.88671875" style="9" bestFit="1" customWidth="1"/>
    <col min="23" max="23" width="9.33203125" style="9" bestFit="1" customWidth="1"/>
    <col min="24" max="24" width="8" style="9" bestFit="1" customWidth="1"/>
    <col min="25" max="25" width="9.33203125" style="9" bestFit="1" customWidth="1"/>
    <col min="26" max="26" width="11" style="9" bestFit="1" customWidth="1"/>
    <col min="27" max="27" width="9.33203125" style="9" bestFit="1" customWidth="1"/>
    <col min="28" max="28" width="10" style="9" bestFit="1" customWidth="1"/>
    <col min="29" max="16384" width="9.109375" style="9"/>
  </cols>
  <sheetData>
    <row r="1" spans="1:28" ht="11.25" customHeight="1" x14ac:dyDescent="0.3">
      <c r="A1" s="97" t="s">
        <v>59</v>
      </c>
      <c r="B1" s="97" t="s">
        <v>60</v>
      </c>
      <c r="C1" s="97" t="s">
        <v>61</v>
      </c>
      <c r="D1" s="97" t="s">
        <v>62</v>
      </c>
      <c r="E1" s="97" t="s">
        <v>63</v>
      </c>
      <c r="F1" s="97" t="s">
        <v>15</v>
      </c>
      <c r="G1" s="97" t="s">
        <v>65</v>
      </c>
      <c r="H1" s="97" t="s">
        <v>66</v>
      </c>
      <c r="I1" s="97" t="s">
        <v>524</v>
      </c>
      <c r="J1" s="86"/>
      <c r="L1" s="98" t="s">
        <v>550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spans="1:28" ht="11.25" customHeight="1" x14ac:dyDescent="0.3">
      <c r="A2" s="97"/>
      <c r="B2" s="97"/>
      <c r="C2" s="97"/>
      <c r="D2" s="97"/>
      <c r="E2" s="97"/>
      <c r="F2" s="97"/>
      <c r="G2" s="97"/>
      <c r="H2" s="97"/>
      <c r="I2" s="97"/>
      <c r="J2" s="86"/>
      <c r="L2" s="98" t="s">
        <v>451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</row>
    <row r="3" spans="1:28" ht="11.25" customHeight="1" x14ac:dyDescent="0.3">
      <c r="A3" s="97"/>
      <c r="B3" s="97"/>
      <c r="C3" s="97"/>
      <c r="D3" s="97"/>
      <c r="E3" s="97"/>
      <c r="F3" s="97"/>
      <c r="G3" s="97"/>
      <c r="H3" s="97"/>
      <c r="I3" s="97"/>
      <c r="J3" s="86"/>
      <c r="L3" s="98" t="s">
        <v>424</v>
      </c>
      <c r="M3" s="98"/>
      <c r="N3" s="98"/>
      <c r="O3" s="98"/>
      <c r="P3" s="98"/>
      <c r="Q3" s="98"/>
      <c r="R3" s="98" t="s">
        <v>455</v>
      </c>
      <c r="S3" s="98"/>
      <c r="T3" s="98" t="s">
        <v>433</v>
      </c>
      <c r="U3" s="98"/>
      <c r="V3" s="98"/>
      <c r="W3" s="98"/>
      <c r="X3" s="98" t="s">
        <v>443</v>
      </c>
      <c r="Y3" s="98"/>
      <c r="Z3" s="98" t="s">
        <v>446</v>
      </c>
      <c r="AA3" s="98"/>
      <c r="AB3" s="98" t="s">
        <v>432</v>
      </c>
    </row>
    <row r="4" spans="1:28" ht="11.25" customHeight="1" x14ac:dyDescent="0.3">
      <c r="A4" s="97"/>
      <c r="B4" s="97"/>
      <c r="C4" s="97"/>
      <c r="D4" s="97"/>
      <c r="E4" s="97"/>
      <c r="F4" s="97"/>
      <c r="G4" s="97"/>
      <c r="H4" s="97"/>
      <c r="I4" s="97"/>
      <c r="J4" s="86"/>
      <c r="L4" s="24" t="s">
        <v>426</v>
      </c>
      <c r="M4" s="24" t="s">
        <v>452</v>
      </c>
      <c r="N4" s="24" t="s">
        <v>453</v>
      </c>
      <c r="O4" s="24" t="s">
        <v>512</v>
      </c>
      <c r="P4" s="24" t="s">
        <v>454</v>
      </c>
      <c r="Q4" s="24" t="s">
        <v>432</v>
      </c>
      <c r="R4" s="24" t="s">
        <v>456</v>
      </c>
      <c r="S4" s="24" t="s">
        <v>432</v>
      </c>
      <c r="T4" s="24" t="s">
        <v>457</v>
      </c>
      <c r="U4" s="24" t="s">
        <v>458</v>
      </c>
      <c r="V4" s="24" t="s">
        <v>459</v>
      </c>
      <c r="W4" s="24" t="s">
        <v>432</v>
      </c>
      <c r="X4" s="24" t="s">
        <v>444</v>
      </c>
      <c r="Y4" s="24" t="s">
        <v>432</v>
      </c>
      <c r="Z4" s="24" t="s">
        <v>460</v>
      </c>
      <c r="AA4" s="24" t="s">
        <v>432</v>
      </c>
      <c r="AB4" s="99"/>
    </row>
    <row r="5" spans="1:28" ht="11.25" customHeight="1" x14ac:dyDescent="0.3">
      <c r="A5" s="96" t="s">
        <v>35</v>
      </c>
      <c r="B5" s="96" t="s">
        <v>68</v>
      </c>
      <c r="C5" s="96" t="s">
        <v>25</v>
      </c>
      <c r="D5" s="96" t="s">
        <v>25</v>
      </c>
      <c r="E5" s="96" t="s">
        <v>25</v>
      </c>
      <c r="F5" s="96" t="s">
        <v>25</v>
      </c>
      <c r="G5" s="23" t="s">
        <v>70</v>
      </c>
      <c r="H5" s="23" t="s">
        <v>69</v>
      </c>
      <c r="I5" s="23">
        <f>'MERCADO TE'!$U$2</f>
        <v>1248.6389999999999</v>
      </c>
      <c r="J5" s="15"/>
      <c r="L5" s="20">
        <f>'TR TE'!$L$5*'TR TE'!$L$48</f>
        <v>0</v>
      </c>
      <c r="M5" s="20">
        <f>'TR TE'!$M$5*'TR TE'!$M$48</f>
        <v>0</v>
      </c>
      <c r="N5" s="20">
        <f>'TR TE'!$N$5*'TR TE'!$N$48</f>
        <v>0</v>
      </c>
      <c r="O5" s="20">
        <f>'TR TE'!$O$5*'TR TE'!$O$48</f>
        <v>0</v>
      </c>
      <c r="P5" s="20">
        <f>'TR TE'!$P$5*'TR TE'!$P$48</f>
        <v>0</v>
      </c>
      <c r="Q5" s="20">
        <f>SUM($L$5:$P$5)</f>
        <v>0</v>
      </c>
      <c r="R5" s="20">
        <f>'TR TE'!$R$5*'TR TE'!$R$48</f>
        <v>124.8702548109523</v>
      </c>
      <c r="S5" s="20">
        <f>SUM($R$5:$R$5)</f>
        <v>124.8702548109523</v>
      </c>
      <c r="T5" s="20">
        <f>'TR TE'!$T$5*'TR TE'!$T$48</f>
        <v>0</v>
      </c>
      <c r="U5" s="20">
        <f>'TR TE'!$U$5*'TR TE'!$U$48</f>
        <v>0</v>
      </c>
      <c r="V5" s="20">
        <f>'TR TE'!$V$5*'TR TE'!$V$48</f>
        <v>0</v>
      </c>
      <c r="W5" s="20">
        <f>SUM($T$5:$V$5)</f>
        <v>0</v>
      </c>
      <c r="X5" s="20"/>
      <c r="Y5" s="20">
        <f>SUM($X$5:$X$5)</f>
        <v>0</v>
      </c>
      <c r="Z5" s="20">
        <f>'TR TE'!$Z$5*'TR TE'!$Z$48</f>
        <v>0</v>
      </c>
      <c r="AA5" s="20">
        <f>SUM($Z$5:$Z$5)</f>
        <v>0</v>
      </c>
      <c r="AB5" s="20">
        <f>SUMIF($L$4:$AA$4,"SUBTOTAL",$L$5:$AA$5)</f>
        <v>124.8702548109523</v>
      </c>
    </row>
    <row r="6" spans="1:28" ht="11.25" customHeight="1" x14ac:dyDescent="0.3">
      <c r="A6" s="96"/>
      <c r="B6" s="96"/>
      <c r="C6" s="96"/>
      <c r="D6" s="96"/>
      <c r="E6" s="96"/>
      <c r="F6" s="96"/>
      <c r="G6" s="23" t="s">
        <v>71</v>
      </c>
      <c r="H6" s="23" t="s">
        <v>69</v>
      </c>
      <c r="I6" s="23">
        <f>'MERCADO TE'!$U$3</f>
        <v>28654.205000000002</v>
      </c>
      <c r="J6" s="15"/>
      <c r="L6" s="20">
        <f>'TR TE'!$L$6*'TR TE'!$L$48</f>
        <v>0</v>
      </c>
      <c r="M6" s="20">
        <f>'TR TE'!$M$6*'TR TE'!$M$48</f>
        <v>0</v>
      </c>
      <c r="N6" s="20">
        <f>'TR TE'!$N$6*'TR TE'!$N$48</f>
        <v>0</v>
      </c>
      <c r="O6" s="20">
        <f>'TR TE'!$O$6*'TR TE'!$O$48</f>
        <v>0</v>
      </c>
      <c r="P6" s="20">
        <f>'TR TE'!$P$6*'TR TE'!$P$48</f>
        <v>0</v>
      </c>
      <c r="Q6" s="20">
        <f>SUM($L$6:$P$6)</f>
        <v>0</v>
      </c>
      <c r="R6" s="20">
        <f>'TR TE'!$R$6*'TR TE'!$R$48</f>
        <v>124.8702548109523</v>
      </c>
      <c r="S6" s="20">
        <f>SUM($R$6:$R$6)</f>
        <v>124.8702548109523</v>
      </c>
      <c r="T6" s="20">
        <f>'TR TE'!$T$6*'TR TE'!$T$48</f>
        <v>0</v>
      </c>
      <c r="U6" s="20">
        <f>'TR TE'!$U$6*'TR TE'!$U$48</f>
        <v>0</v>
      </c>
      <c r="V6" s="20">
        <f>'TR TE'!$V$6*'TR TE'!$V$48</f>
        <v>0</v>
      </c>
      <c r="W6" s="20">
        <f>SUM($T$6:$V$6)</f>
        <v>0</v>
      </c>
      <c r="X6" s="20"/>
      <c r="Y6" s="20">
        <f>SUM($X$6:$X$6)</f>
        <v>0</v>
      </c>
      <c r="Z6" s="20">
        <f>'TR TE'!$Z$6*'TR TE'!$Z$48</f>
        <v>0</v>
      </c>
      <c r="AA6" s="20">
        <f>SUM($Z$6:$Z$6)</f>
        <v>0</v>
      </c>
      <c r="AB6" s="20">
        <f>SUMIF($L$4:$AA$4,"SUBTOTAL",$L$6:$AA$6)</f>
        <v>124.8702548109523</v>
      </c>
    </row>
    <row r="7" spans="1:28" ht="11.25" customHeight="1" x14ac:dyDescent="0.3">
      <c r="A7" s="96" t="s">
        <v>22</v>
      </c>
      <c r="B7" s="96" t="s">
        <v>68</v>
      </c>
      <c r="C7" s="96" t="s">
        <v>24</v>
      </c>
      <c r="D7" s="96" t="s">
        <v>24</v>
      </c>
      <c r="E7" s="96" t="s">
        <v>25</v>
      </c>
      <c r="F7" s="96" t="s">
        <v>25</v>
      </c>
      <c r="G7" s="23" t="s">
        <v>70</v>
      </c>
      <c r="H7" s="23" t="s">
        <v>69</v>
      </c>
      <c r="I7" s="23">
        <f>'MERCADO TE'!$U$4</f>
        <v>0</v>
      </c>
      <c r="J7" s="15"/>
      <c r="L7" s="20">
        <f>'TR TE'!$L$7*'TR TE'!$L$48</f>
        <v>0</v>
      </c>
      <c r="M7" s="20">
        <f>'TR TE'!$M$7*'TR TE'!$M$48</f>
        <v>0</v>
      </c>
      <c r="N7" s="20">
        <f>'TR TE'!$N$7*'TR TE'!$N$48</f>
        <v>0</v>
      </c>
      <c r="O7" s="20">
        <f>'TR TE'!$O$7*'TR TE'!$O$48</f>
        <v>0</v>
      </c>
      <c r="P7" s="20">
        <f>'TR TE'!$P$7*'TR TE'!$P$48</f>
        <v>0</v>
      </c>
      <c r="Q7" s="20">
        <f>SUM($L$7:$P$7)</f>
        <v>0</v>
      </c>
      <c r="R7" s="20">
        <f>'TR TE'!$R$7*'TR TE'!$R$48</f>
        <v>124.8702548109523</v>
      </c>
      <c r="S7" s="20">
        <f>SUM($R$7:$R$7)</f>
        <v>124.8702548109523</v>
      </c>
      <c r="T7" s="20">
        <f>'TR TE'!$T$7*'TR TE'!$T$48</f>
        <v>0</v>
      </c>
      <c r="U7" s="20">
        <f>'TR TE'!$U$7*'TR TE'!$U$48</f>
        <v>0</v>
      </c>
      <c r="V7" s="20">
        <f>'TR TE'!$V$7*'TR TE'!$V$48</f>
        <v>0</v>
      </c>
      <c r="W7" s="20">
        <f>SUM($T$7:$V$7)</f>
        <v>0</v>
      </c>
      <c r="X7" s="20"/>
      <c r="Y7" s="20">
        <f>SUM($X$7:$X$7)</f>
        <v>0</v>
      </c>
      <c r="Z7" s="20">
        <f>'TR TE'!$Z$7*'TR TE'!$Z$48</f>
        <v>0</v>
      </c>
      <c r="AA7" s="20">
        <f>SUM($Z$7:$Z$7)</f>
        <v>0</v>
      </c>
      <c r="AB7" s="20">
        <f>SUMIF($L$4:$AA$4,"SUBTOTAL",$L$7:$AA$7)</f>
        <v>124.8702548109523</v>
      </c>
    </row>
    <row r="8" spans="1:28" ht="11.25" customHeight="1" x14ac:dyDescent="0.3">
      <c r="A8" s="96"/>
      <c r="B8" s="96"/>
      <c r="C8" s="96"/>
      <c r="D8" s="96"/>
      <c r="E8" s="96"/>
      <c r="F8" s="96"/>
      <c r="G8" s="23" t="s">
        <v>81</v>
      </c>
      <c r="H8" s="23" t="s">
        <v>69</v>
      </c>
      <c r="I8" s="23">
        <f>'MERCADO TE'!$U$5</f>
        <v>0</v>
      </c>
      <c r="J8" s="15"/>
      <c r="L8" s="20">
        <f>'TR TE'!$L$8*'TR TE'!$L$48</f>
        <v>0</v>
      </c>
      <c r="M8" s="20">
        <f>'TR TE'!$M$8*'TR TE'!$M$48</f>
        <v>0</v>
      </c>
      <c r="N8" s="20">
        <f>'TR TE'!$N$8*'TR TE'!$N$48</f>
        <v>0</v>
      </c>
      <c r="O8" s="20">
        <f>'TR TE'!$O$8*'TR TE'!$O$48</f>
        <v>0</v>
      </c>
      <c r="P8" s="20">
        <f>'TR TE'!$P$8*'TR TE'!$P$48</f>
        <v>0</v>
      </c>
      <c r="Q8" s="20">
        <f>SUM($L$8:$P$8)</f>
        <v>0</v>
      </c>
      <c r="R8" s="20">
        <f>'TR TE'!$R$8*'TR TE'!$R$48</f>
        <v>124.8702548109523</v>
      </c>
      <c r="S8" s="20">
        <f>SUM($R$8:$R$8)</f>
        <v>124.8702548109523</v>
      </c>
      <c r="T8" s="20">
        <f>'TR TE'!$T$8*'TR TE'!$T$48</f>
        <v>0</v>
      </c>
      <c r="U8" s="20">
        <f>'TR TE'!$U$8*'TR TE'!$U$48</f>
        <v>0</v>
      </c>
      <c r="V8" s="20">
        <f>'TR TE'!$V$8*'TR TE'!$V$48</f>
        <v>0</v>
      </c>
      <c r="W8" s="20">
        <f>SUM($T$8:$V$8)</f>
        <v>0</v>
      </c>
      <c r="X8" s="20"/>
      <c r="Y8" s="20">
        <f>SUM($X$8:$X$8)</f>
        <v>0</v>
      </c>
      <c r="Z8" s="20">
        <f>'TR TE'!$Z$8*'TR TE'!$Z$48</f>
        <v>0</v>
      </c>
      <c r="AA8" s="20">
        <f>SUM($Z$8:$Z$8)</f>
        <v>0</v>
      </c>
      <c r="AB8" s="20">
        <f>SUMIF($L$4:$AA$4,"SUBTOTAL",$L$8:$AA$8)</f>
        <v>124.8702548109523</v>
      </c>
    </row>
    <row r="9" spans="1:28" ht="11.25" customHeight="1" x14ac:dyDescent="0.3">
      <c r="A9" s="96"/>
      <c r="B9" s="96"/>
      <c r="C9" s="96"/>
      <c r="D9" s="96"/>
      <c r="E9" s="96"/>
      <c r="F9" s="96"/>
      <c r="G9" s="23" t="s">
        <v>71</v>
      </c>
      <c r="H9" s="23" t="s">
        <v>69</v>
      </c>
      <c r="I9" s="23">
        <f>'MERCADO TE'!$U$6</f>
        <v>0</v>
      </c>
      <c r="J9" s="15"/>
      <c r="L9" s="20">
        <f>'TR TE'!$L$9*'TR TE'!$L$48</f>
        <v>0</v>
      </c>
      <c r="M9" s="20">
        <f>'TR TE'!$M$9*'TR TE'!$M$48</f>
        <v>0</v>
      </c>
      <c r="N9" s="20">
        <f>'TR TE'!$N$9*'TR TE'!$N$48</f>
        <v>0</v>
      </c>
      <c r="O9" s="20">
        <f>'TR TE'!$O$9*'TR TE'!$O$48</f>
        <v>0</v>
      </c>
      <c r="P9" s="20">
        <f>'TR TE'!$P$9*'TR TE'!$P$48</f>
        <v>0</v>
      </c>
      <c r="Q9" s="20">
        <f>SUM($L$9:$P$9)</f>
        <v>0</v>
      </c>
      <c r="R9" s="20">
        <f>'TR TE'!$R$9*'TR TE'!$R$48</f>
        <v>124.8702548109523</v>
      </c>
      <c r="S9" s="20">
        <f>SUM($R$9:$R$9)</f>
        <v>124.8702548109523</v>
      </c>
      <c r="T9" s="20">
        <f>'TR TE'!$T$9*'TR TE'!$T$48</f>
        <v>0</v>
      </c>
      <c r="U9" s="20">
        <f>'TR TE'!$U$9*'TR TE'!$U$48</f>
        <v>0</v>
      </c>
      <c r="V9" s="20">
        <f>'TR TE'!$V$9*'TR TE'!$V$48</f>
        <v>0</v>
      </c>
      <c r="W9" s="20">
        <f>SUM($T$9:$V$9)</f>
        <v>0</v>
      </c>
      <c r="X9" s="20"/>
      <c r="Y9" s="20">
        <f>SUM($X$9:$X$9)</f>
        <v>0</v>
      </c>
      <c r="Z9" s="20">
        <f>'TR TE'!$Z$9*'TR TE'!$Z$48</f>
        <v>0</v>
      </c>
      <c r="AA9" s="20">
        <f>SUM($Z$9:$Z$9)</f>
        <v>0</v>
      </c>
      <c r="AB9" s="20">
        <f>SUMIF($L$4:$AA$4,"SUBTOTAL",$L$9:$AA$9)</f>
        <v>124.8702548109523</v>
      </c>
    </row>
    <row r="10" spans="1:28" ht="11.25" customHeight="1" x14ac:dyDescent="0.3">
      <c r="A10" s="96"/>
      <c r="B10" s="96" t="s">
        <v>82</v>
      </c>
      <c r="C10" s="96" t="s">
        <v>24</v>
      </c>
      <c r="D10" s="22" t="s">
        <v>24</v>
      </c>
      <c r="E10" s="22" t="s">
        <v>25</v>
      </c>
      <c r="F10" s="22" t="s">
        <v>25</v>
      </c>
      <c r="G10" s="23" t="s">
        <v>75</v>
      </c>
      <c r="H10" s="23" t="s">
        <v>69</v>
      </c>
      <c r="I10" s="23">
        <f>'MERCADO TE'!$U$7</f>
        <v>6626.2160000000003</v>
      </c>
      <c r="J10" s="15"/>
      <c r="L10" s="20">
        <f>'TR TE'!$L$10*'TR TE'!$L$48</f>
        <v>0</v>
      </c>
      <c r="M10" s="20">
        <f>'TR TE'!$M$10*'TR TE'!$M$48</f>
        <v>0</v>
      </c>
      <c r="N10" s="20">
        <f>'TR TE'!$N$10*'TR TE'!$N$48</f>
        <v>0</v>
      </c>
      <c r="O10" s="20">
        <f>'TR TE'!$O$10*'TR TE'!$O$48</f>
        <v>0</v>
      </c>
      <c r="P10" s="20">
        <f>'TR TE'!$P$10*'TR TE'!$P$48</f>
        <v>0</v>
      </c>
      <c r="Q10" s="20">
        <f>SUM($L$10:$P$10)</f>
        <v>0</v>
      </c>
      <c r="R10" s="20">
        <f>'TR TE'!$R$10*'TR TE'!$R$48</f>
        <v>124.8702548109523</v>
      </c>
      <c r="S10" s="20">
        <f>SUM($R$10:$R$10)</f>
        <v>124.8702548109523</v>
      </c>
      <c r="T10" s="20">
        <f>'TR TE'!$T$10*'TR TE'!$T$48</f>
        <v>0</v>
      </c>
      <c r="U10" s="20">
        <f>'TR TE'!$U$10*'TR TE'!$U$48</f>
        <v>0</v>
      </c>
      <c r="V10" s="20">
        <f>'TR TE'!$V$10*'TR TE'!$V$48</f>
        <v>0</v>
      </c>
      <c r="W10" s="20">
        <f>SUM($T$10:$V$10)</f>
        <v>0</v>
      </c>
      <c r="X10" s="20"/>
      <c r="Y10" s="20">
        <f>SUM($X$10:$X$10)</f>
        <v>0</v>
      </c>
      <c r="Z10" s="20">
        <f>'TR TE'!$Z$10*'TR TE'!$Z$48</f>
        <v>0</v>
      </c>
      <c r="AA10" s="20">
        <f>SUM($Z$10:$Z$10)</f>
        <v>0</v>
      </c>
      <c r="AB10" s="20">
        <f>SUMIF($L$4:$AA$4,"SUBTOTAL",$L$10:$AA$10)</f>
        <v>124.8702548109523</v>
      </c>
    </row>
    <row r="11" spans="1:28" ht="11.25" customHeight="1" x14ac:dyDescent="0.3">
      <c r="A11" s="96"/>
      <c r="B11" s="96"/>
      <c r="C11" s="96"/>
      <c r="D11" s="22" t="s">
        <v>29</v>
      </c>
      <c r="E11" s="22" t="s">
        <v>25</v>
      </c>
      <c r="F11" s="22" t="s">
        <v>25</v>
      </c>
      <c r="G11" s="23" t="s">
        <v>75</v>
      </c>
      <c r="H11" s="23" t="s">
        <v>69</v>
      </c>
      <c r="I11" s="23">
        <f>'MERCADO TE'!$U$8</f>
        <v>56.819999999999993</v>
      </c>
      <c r="J11" s="15"/>
      <c r="L11" s="20">
        <f>'TR TE'!$L$11*'TR TE'!$L$48</f>
        <v>0</v>
      </c>
      <c r="M11" s="20">
        <f>'TR TE'!$M$11*'TR TE'!$M$48</f>
        <v>0</v>
      </c>
      <c r="N11" s="20">
        <f>'TR TE'!$N$11*'TR TE'!$N$48</f>
        <v>0</v>
      </c>
      <c r="O11" s="20">
        <f>'TR TE'!$O$11*'TR TE'!$O$48</f>
        <v>0</v>
      </c>
      <c r="P11" s="20">
        <f>'TR TE'!$P$11*'TR TE'!$P$48</f>
        <v>0</v>
      </c>
      <c r="Q11" s="20">
        <f>SUM($L$11:$P$11)</f>
        <v>0</v>
      </c>
      <c r="R11" s="20">
        <f>'TR TE'!$R$11*'TR TE'!$R$48</f>
        <v>124.8702548109523</v>
      </c>
      <c r="S11" s="20">
        <f>SUM($R$11:$R$11)</f>
        <v>124.8702548109523</v>
      </c>
      <c r="T11" s="20">
        <f>'TR TE'!$T$11*'TR TE'!$T$48</f>
        <v>0</v>
      </c>
      <c r="U11" s="20">
        <f>'TR TE'!$U$11*'TR TE'!$U$48</f>
        <v>0</v>
      </c>
      <c r="V11" s="20">
        <f>'TR TE'!$V$11*'TR TE'!$V$48</f>
        <v>0</v>
      </c>
      <c r="W11" s="20">
        <f>SUM($T$11:$V$11)</f>
        <v>0</v>
      </c>
      <c r="X11" s="20"/>
      <c r="Y11" s="20">
        <f>SUM($X$11:$X$11)</f>
        <v>0</v>
      </c>
      <c r="Z11" s="20">
        <f>'TR TE'!$Z$11*'TR TE'!$Z$48</f>
        <v>0</v>
      </c>
      <c r="AA11" s="20">
        <f>SUM($Z$11:$Z$11)</f>
        <v>0</v>
      </c>
      <c r="AB11" s="20">
        <f>SUMIF($L$4:$AA$4,"SUBTOTAL",$L$11:$AA$11)</f>
        <v>124.8702548109523</v>
      </c>
    </row>
    <row r="12" spans="1:28" ht="11.25" customHeight="1" x14ac:dyDescent="0.3">
      <c r="A12" s="96"/>
      <c r="B12" s="96"/>
      <c r="C12" s="96"/>
      <c r="D12" s="22" t="s">
        <v>30</v>
      </c>
      <c r="E12" s="22" t="s">
        <v>25</v>
      </c>
      <c r="F12" s="22" t="s">
        <v>25</v>
      </c>
      <c r="G12" s="23" t="s">
        <v>75</v>
      </c>
      <c r="H12" s="23" t="s">
        <v>69</v>
      </c>
      <c r="I12" s="23">
        <f>'MERCADO TE'!$U$9</f>
        <v>114.55999999999999</v>
      </c>
      <c r="J12" s="15"/>
      <c r="L12" s="20">
        <f>'TR TE'!$L$12*'TR TE'!$L$48</f>
        <v>0</v>
      </c>
      <c r="M12" s="20">
        <f>'TR TE'!$M$12*'TR TE'!$M$48</f>
        <v>0</v>
      </c>
      <c r="N12" s="20">
        <f>'TR TE'!$N$12*'TR TE'!$N$48</f>
        <v>0</v>
      </c>
      <c r="O12" s="20">
        <f>'TR TE'!$O$12*'TR TE'!$O$48</f>
        <v>0</v>
      </c>
      <c r="P12" s="20">
        <f>'TR TE'!$P$12*'TR TE'!$P$48</f>
        <v>0</v>
      </c>
      <c r="Q12" s="20">
        <f>SUM($L$12:$P$12)</f>
        <v>0</v>
      </c>
      <c r="R12" s="20">
        <f>'TR TE'!$R$12*'TR TE'!$R$48</f>
        <v>124.8702548109523</v>
      </c>
      <c r="S12" s="20">
        <f>SUM($R$12:$R$12)</f>
        <v>124.8702548109523</v>
      </c>
      <c r="T12" s="20">
        <f>'TR TE'!$T$12*'TR TE'!$T$48</f>
        <v>0</v>
      </c>
      <c r="U12" s="20">
        <f>'TR TE'!$U$12*'TR TE'!$U$48</f>
        <v>0</v>
      </c>
      <c r="V12" s="20">
        <f>'TR TE'!$V$12*'TR TE'!$V$48</f>
        <v>0</v>
      </c>
      <c r="W12" s="20">
        <f>SUM($T$12:$V$12)</f>
        <v>0</v>
      </c>
      <c r="X12" s="20"/>
      <c r="Y12" s="20">
        <f>SUM($X$12:$X$12)</f>
        <v>0</v>
      </c>
      <c r="Z12" s="20">
        <f>'TR TE'!$Z$12*'TR TE'!$Z$48</f>
        <v>0</v>
      </c>
      <c r="AA12" s="20">
        <f>SUM($Z$12:$Z$12)</f>
        <v>0</v>
      </c>
      <c r="AB12" s="20">
        <f>SUMIF($L$4:$AA$4,"SUBTOTAL",$L$12:$AA$12)</f>
        <v>124.8702548109523</v>
      </c>
    </row>
    <row r="13" spans="1:28" ht="11.25" customHeight="1" x14ac:dyDescent="0.3">
      <c r="A13" s="96"/>
      <c r="B13" s="96"/>
      <c r="C13" s="96"/>
      <c r="D13" s="22" t="s">
        <v>31</v>
      </c>
      <c r="E13" s="22" t="s">
        <v>25</v>
      </c>
      <c r="F13" s="22" t="s">
        <v>25</v>
      </c>
      <c r="G13" s="23" t="s">
        <v>75</v>
      </c>
      <c r="H13" s="23" t="s">
        <v>69</v>
      </c>
      <c r="I13" s="23">
        <f>'MERCADO TE'!$U$10</f>
        <v>116.22800000000001</v>
      </c>
      <c r="J13" s="15"/>
      <c r="L13" s="20">
        <f>'TR TE'!$L$13*'TR TE'!$L$48</f>
        <v>0</v>
      </c>
      <c r="M13" s="20">
        <f>'TR TE'!$M$13*'TR TE'!$M$48</f>
        <v>0</v>
      </c>
      <c r="N13" s="20">
        <f>'TR TE'!$N$13*'TR TE'!$N$48</f>
        <v>0</v>
      </c>
      <c r="O13" s="20">
        <f>'TR TE'!$O$13*'TR TE'!$O$48</f>
        <v>0</v>
      </c>
      <c r="P13" s="20">
        <f>'TR TE'!$P$13*'TR TE'!$P$48</f>
        <v>0</v>
      </c>
      <c r="Q13" s="20">
        <f>SUM($L$13:$P$13)</f>
        <v>0</v>
      </c>
      <c r="R13" s="20">
        <f>'TR TE'!$R$13*'TR TE'!$R$48</f>
        <v>124.8702548109523</v>
      </c>
      <c r="S13" s="20">
        <f>SUM($R$13:$R$13)</f>
        <v>124.8702548109523</v>
      </c>
      <c r="T13" s="20">
        <f>'TR TE'!$T$13*'TR TE'!$T$48</f>
        <v>0</v>
      </c>
      <c r="U13" s="20">
        <f>'TR TE'!$U$13*'TR TE'!$U$48</f>
        <v>0</v>
      </c>
      <c r="V13" s="20">
        <f>'TR TE'!$V$13*'TR TE'!$V$48</f>
        <v>0</v>
      </c>
      <c r="W13" s="20">
        <f>SUM($T$13:$V$13)</f>
        <v>0</v>
      </c>
      <c r="X13" s="20"/>
      <c r="Y13" s="20">
        <f>SUM($X$13:$X$13)</f>
        <v>0</v>
      </c>
      <c r="Z13" s="20">
        <f>'TR TE'!$Z$13*'TR TE'!$Z$48</f>
        <v>0</v>
      </c>
      <c r="AA13" s="20">
        <f>SUM($Z$13:$Z$13)</f>
        <v>0</v>
      </c>
      <c r="AB13" s="20">
        <f>SUMIF($L$4:$AA$4,"SUBTOTAL",$L$13:$AA$13)</f>
        <v>124.8702548109523</v>
      </c>
    </row>
    <row r="14" spans="1:28" ht="11.25" customHeight="1" x14ac:dyDescent="0.3">
      <c r="A14" s="96"/>
      <c r="B14" s="96"/>
      <c r="C14" s="96"/>
      <c r="D14" s="22" t="s">
        <v>32</v>
      </c>
      <c r="E14" s="22" t="s">
        <v>25</v>
      </c>
      <c r="F14" s="22" t="s">
        <v>25</v>
      </c>
      <c r="G14" s="23" t="s">
        <v>75</v>
      </c>
      <c r="H14" s="23" t="s">
        <v>69</v>
      </c>
      <c r="I14" s="23">
        <f>'MERCADO TE'!$U$11</f>
        <v>45.311999999999998</v>
      </c>
      <c r="J14" s="15"/>
      <c r="L14" s="20">
        <f>'TR TE'!$L$14*'TR TE'!$L$48</f>
        <v>0</v>
      </c>
      <c r="M14" s="20">
        <f>'TR TE'!$M$14*'TR TE'!$M$48</f>
        <v>0</v>
      </c>
      <c r="N14" s="20">
        <f>'TR TE'!$N$14*'TR TE'!$N$48</f>
        <v>0</v>
      </c>
      <c r="O14" s="20">
        <f>'TR TE'!$O$14*'TR TE'!$O$48</f>
        <v>0</v>
      </c>
      <c r="P14" s="20">
        <f>'TR TE'!$P$14*'TR TE'!$P$48</f>
        <v>0</v>
      </c>
      <c r="Q14" s="20">
        <f>SUM($L$14:$P$14)</f>
        <v>0</v>
      </c>
      <c r="R14" s="20">
        <f>'TR TE'!$R$14*'TR TE'!$R$48</f>
        <v>124.8702548109523</v>
      </c>
      <c r="S14" s="20">
        <f>SUM($R$14:$R$14)</f>
        <v>124.8702548109523</v>
      </c>
      <c r="T14" s="20">
        <f>'TR TE'!$T$14*'TR TE'!$T$48</f>
        <v>0</v>
      </c>
      <c r="U14" s="20">
        <f>'TR TE'!$U$14*'TR TE'!$U$48</f>
        <v>0</v>
      </c>
      <c r="V14" s="20">
        <f>'TR TE'!$V$14*'TR TE'!$V$48</f>
        <v>0</v>
      </c>
      <c r="W14" s="20">
        <f>SUM($T$14:$V$14)</f>
        <v>0</v>
      </c>
      <c r="X14" s="20"/>
      <c r="Y14" s="20">
        <f>SUM($X$14:$X$14)</f>
        <v>0</v>
      </c>
      <c r="Z14" s="20">
        <f>'TR TE'!$Z$14*'TR TE'!$Z$48</f>
        <v>0</v>
      </c>
      <c r="AA14" s="20">
        <f>SUM($Z$14:$Z$14)</f>
        <v>0</v>
      </c>
      <c r="AB14" s="20">
        <f>SUMIF($L$4:$AA$4,"SUBTOTAL",$L$14:$AA$14)</f>
        <v>124.8702548109523</v>
      </c>
    </row>
    <row r="15" spans="1:28" ht="11.25" customHeight="1" x14ac:dyDescent="0.3">
      <c r="A15" s="96"/>
      <c r="B15" s="96" t="s">
        <v>83</v>
      </c>
      <c r="C15" s="96" t="s">
        <v>24</v>
      </c>
      <c r="D15" s="22" t="s">
        <v>24</v>
      </c>
      <c r="E15" s="22" t="s">
        <v>25</v>
      </c>
      <c r="F15" s="22" t="s">
        <v>25</v>
      </c>
      <c r="G15" s="23" t="s">
        <v>75</v>
      </c>
      <c r="H15" s="23" t="s">
        <v>69</v>
      </c>
      <c r="I15" s="23">
        <f>'MERCADO TE'!$U$12</f>
        <v>0</v>
      </c>
      <c r="J15" s="15"/>
      <c r="L15" s="20">
        <f>'TR TE'!$L$15*'TR TE'!$L$48</f>
        <v>0</v>
      </c>
      <c r="M15" s="20">
        <f>'TR TE'!$M$15*'TR TE'!$M$48</f>
        <v>0</v>
      </c>
      <c r="N15" s="20">
        <f>'TR TE'!$N$15*'TR TE'!$N$48</f>
        <v>0</v>
      </c>
      <c r="O15" s="20">
        <f>'TR TE'!$O$15*'TR TE'!$O$48</f>
        <v>0</v>
      </c>
      <c r="P15" s="20">
        <f>'TR TE'!$P$15*'TR TE'!$P$48</f>
        <v>0</v>
      </c>
      <c r="Q15" s="20">
        <f>SUM($L$15:$P$15)</f>
        <v>0</v>
      </c>
      <c r="R15" s="20">
        <f>'TR TE'!$R$15*'TR TE'!$R$48</f>
        <v>124.8702548109523</v>
      </c>
      <c r="S15" s="20">
        <f>SUM($R$15:$R$15)</f>
        <v>124.8702548109523</v>
      </c>
      <c r="T15" s="20">
        <f>'TR TE'!$T$15*'TR TE'!$T$48</f>
        <v>0</v>
      </c>
      <c r="U15" s="20">
        <f>'TR TE'!$U$15*'TR TE'!$U$48</f>
        <v>0</v>
      </c>
      <c r="V15" s="20">
        <f>'TR TE'!$V$15*'TR TE'!$V$48</f>
        <v>0</v>
      </c>
      <c r="W15" s="20">
        <f>SUM($T$15:$V$15)</f>
        <v>0</v>
      </c>
      <c r="X15" s="20"/>
      <c r="Y15" s="20">
        <f>SUM($X$15:$X$15)</f>
        <v>0</v>
      </c>
      <c r="Z15" s="20">
        <f>'TR TE'!$Z$15*'TR TE'!$Z$48</f>
        <v>0</v>
      </c>
      <c r="AA15" s="20">
        <f>SUM($Z$15:$Z$15)</f>
        <v>0</v>
      </c>
      <c r="AB15" s="20">
        <f>SUMIF($L$4:$AA$4,"SUBTOTAL",$L$15:$AA$15)</f>
        <v>124.8702548109523</v>
      </c>
    </row>
    <row r="16" spans="1:28" ht="11.25" customHeight="1" x14ac:dyDescent="0.3">
      <c r="A16" s="96"/>
      <c r="B16" s="96"/>
      <c r="C16" s="96"/>
      <c r="D16" s="22" t="s">
        <v>29</v>
      </c>
      <c r="E16" s="22" t="s">
        <v>25</v>
      </c>
      <c r="F16" s="22" t="s">
        <v>25</v>
      </c>
      <c r="G16" s="23" t="s">
        <v>75</v>
      </c>
      <c r="H16" s="23" t="s">
        <v>69</v>
      </c>
      <c r="I16" s="23">
        <f>'MERCADO TE'!$U$13</f>
        <v>0</v>
      </c>
      <c r="J16" s="15"/>
      <c r="L16" s="20">
        <f>'TR TE'!$L$16*'TR TE'!$L$48</f>
        <v>0</v>
      </c>
      <c r="M16" s="20">
        <f>'TR TE'!$M$16*'TR TE'!$M$48</f>
        <v>0</v>
      </c>
      <c r="N16" s="20">
        <f>'TR TE'!$N$16*'TR TE'!$N$48</f>
        <v>0</v>
      </c>
      <c r="O16" s="20">
        <f>'TR TE'!$O$16*'TR TE'!$O$48</f>
        <v>0</v>
      </c>
      <c r="P16" s="20">
        <f>'TR TE'!$P$16*'TR TE'!$P$48</f>
        <v>0</v>
      </c>
      <c r="Q16" s="20">
        <f>SUM($L$16:$P$16)</f>
        <v>0</v>
      </c>
      <c r="R16" s="20">
        <f>'TR TE'!$R$16*'TR TE'!$R$48</f>
        <v>124.8702548109523</v>
      </c>
      <c r="S16" s="20">
        <f>SUM($R$16:$R$16)</f>
        <v>124.8702548109523</v>
      </c>
      <c r="T16" s="20">
        <f>'TR TE'!$T$16*'TR TE'!$T$48</f>
        <v>0</v>
      </c>
      <c r="U16" s="20">
        <f>'TR TE'!$U$16*'TR TE'!$U$48</f>
        <v>0</v>
      </c>
      <c r="V16" s="20">
        <f>'TR TE'!$V$16*'TR TE'!$V$48</f>
        <v>0</v>
      </c>
      <c r="W16" s="20">
        <f>SUM($T$16:$V$16)</f>
        <v>0</v>
      </c>
      <c r="X16" s="20"/>
      <c r="Y16" s="20">
        <f>SUM($X$16:$X$16)</f>
        <v>0</v>
      </c>
      <c r="Z16" s="20">
        <f>'TR TE'!$Z$16*'TR TE'!$Z$48</f>
        <v>0</v>
      </c>
      <c r="AA16" s="20">
        <f>SUM($Z$16:$Z$16)</f>
        <v>0</v>
      </c>
      <c r="AB16" s="20">
        <f>SUMIF($L$4:$AA$4,"SUBTOTAL",$L$16:$AA$16)</f>
        <v>124.8702548109523</v>
      </c>
    </row>
    <row r="17" spans="1:28" ht="11.25" customHeight="1" x14ac:dyDescent="0.3">
      <c r="A17" s="96"/>
      <c r="B17" s="96"/>
      <c r="C17" s="96"/>
      <c r="D17" s="22" t="s">
        <v>30</v>
      </c>
      <c r="E17" s="22" t="s">
        <v>25</v>
      </c>
      <c r="F17" s="22" t="s">
        <v>25</v>
      </c>
      <c r="G17" s="23" t="s">
        <v>75</v>
      </c>
      <c r="H17" s="23" t="s">
        <v>69</v>
      </c>
      <c r="I17" s="23">
        <f>'MERCADO TE'!$U$14</f>
        <v>0</v>
      </c>
      <c r="J17" s="15"/>
      <c r="L17" s="20">
        <f>'TR TE'!$L$17*'TR TE'!$L$48</f>
        <v>0</v>
      </c>
      <c r="M17" s="20">
        <f>'TR TE'!$M$17*'TR TE'!$M$48</f>
        <v>0</v>
      </c>
      <c r="N17" s="20">
        <f>'TR TE'!$N$17*'TR TE'!$N$48</f>
        <v>0</v>
      </c>
      <c r="O17" s="20">
        <f>'TR TE'!$O$17*'TR TE'!$O$48</f>
        <v>0</v>
      </c>
      <c r="P17" s="20">
        <f>'TR TE'!$P$17*'TR TE'!$P$48</f>
        <v>0</v>
      </c>
      <c r="Q17" s="20">
        <f>SUM($L$17:$P$17)</f>
        <v>0</v>
      </c>
      <c r="R17" s="20">
        <f>'TR TE'!$R$17*'TR TE'!$R$48</f>
        <v>124.8702548109523</v>
      </c>
      <c r="S17" s="20">
        <f>SUM($R$17:$R$17)</f>
        <v>124.8702548109523</v>
      </c>
      <c r="T17" s="20">
        <f>'TR TE'!$T$17*'TR TE'!$T$48</f>
        <v>0</v>
      </c>
      <c r="U17" s="20">
        <f>'TR TE'!$U$17*'TR TE'!$U$48</f>
        <v>0</v>
      </c>
      <c r="V17" s="20">
        <f>'TR TE'!$V$17*'TR TE'!$V$48</f>
        <v>0</v>
      </c>
      <c r="W17" s="20">
        <f>SUM($T$17:$V$17)</f>
        <v>0</v>
      </c>
      <c r="X17" s="20"/>
      <c r="Y17" s="20">
        <f>SUM($X$17:$X$17)</f>
        <v>0</v>
      </c>
      <c r="Z17" s="20">
        <f>'TR TE'!$Z$17*'TR TE'!$Z$48</f>
        <v>0</v>
      </c>
      <c r="AA17" s="20">
        <f>SUM($Z$17:$Z$17)</f>
        <v>0</v>
      </c>
      <c r="AB17" s="20">
        <f>SUMIF($L$4:$AA$4,"SUBTOTAL",$L$17:$AA$17)</f>
        <v>124.8702548109523</v>
      </c>
    </row>
    <row r="18" spans="1:28" ht="11.25" customHeight="1" x14ac:dyDescent="0.3">
      <c r="A18" s="96"/>
      <c r="B18" s="96"/>
      <c r="C18" s="96"/>
      <c r="D18" s="22" t="s">
        <v>31</v>
      </c>
      <c r="E18" s="22" t="s">
        <v>25</v>
      </c>
      <c r="F18" s="22" t="s">
        <v>25</v>
      </c>
      <c r="G18" s="23" t="s">
        <v>75</v>
      </c>
      <c r="H18" s="23" t="s">
        <v>69</v>
      </c>
      <c r="I18" s="23">
        <f>'MERCADO TE'!$U$15</f>
        <v>0</v>
      </c>
      <c r="J18" s="15"/>
      <c r="L18" s="20">
        <f>'TR TE'!$L$18*'TR TE'!$L$48</f>
        <v>0</v>
      </c>
      <c r="M18" s="20">
        <f>'TR TE'!$M$18*'TR TE'!$M$48</f>
        <v>0</v>
      </c>
      <c r="N18" s="20">
        <f>'TR TE'!$N$18*'TR TE'!$N$48</f>
        <v>0</v>
      </c>
      <c r="O18" s="20">
        <f>'TR TE'!$O$18*'TR TE'!$O$48</f>
        <v>0</v>
      </c>
      <c r="P18" s="20">
        <f>'TR TE'!$P$18*'TR TE'!$P$48</f>
        <v>0</v>
      </c>
      <c r="Q18" s="20">
        <f>SUM($L$18:$P$18)</f>
        <v>0</v>
      </c>
      <c r="R18" s="20">
        <f>'TR TE'!$R$18*'TR TE'!$R$48</f>
        <v>124.8702548109523</v>
      </c>
      <c r="S18" s="20">
        <f>SUM($R$18:$R$18)</f>
        <v>124.8702548109523</v>
      </c>
      <c r="T18" s="20">
        <f>'TR TE'!$T$18*'TR TE'!$T$48</f>
        <v>0</v>
      </c>
      <c r="U18" s="20">
        <f>'TR TE'!$U$18*'TR TE'!$U$48</f>
        <v>0</v>
      </c>
      <c r="V18" s="20">
        <f>'TR TE'!$V$18*'TR TE'!$V$48</f>
        <v>0</v>
      </c>
      <c r="W18" s="20">
        <f>SUM($T$18:$V$18)</f>
        <v>0</v>
      </c>
      <c r="X18" s="20"/>
      <c r="Y18" s="20">
        <f>SUM($X$18:$X$18)</f>
        <v>0</v>
      </c>
      <c r="Z18" s="20">
        <f>'TR TE'!$Z$18*'TR TE'!$Z$48</f>
        <v>0</v>
      </c>
      <c r="AA18" s="20">
        <f>SUM($Z$18:$Z$18)</f>
        <v>0</v>
      </c>
      <c r="AB18" s="20">
        <f>SUMIF($L$4:$AA$4,"SUBTOTAL",$L$18:$AA$18)</f>
        <v>124.8702548109523</v>
      </c>
    </row>
    <row r="19" spans="1:28" ht="11.25" customHeight="1" x14ac:dyDescent="0.3">
      <c r="A19" s="96"/>
      <c r="B19" s="96"/>
      <c r="C19" s="96"/>
      <c r="D19" s="22" t="s">
        <v>32</v>
      </c>
      <c r="E19" s="22" t="s">
        <v>25</v>
      </c>
      <c r="F19" s="22" t="s">
        <v>25</v>
      </c>
      <c r="G19" s="23" t="s">
        <v>75</v>
      </c>
      <c r="H19" s="23" t="s">
        <v>69</v>
      </c>
      <c r="I19" s="23">
        <f>'MERCADO TE'!$U$16</f>
        <v>0</v>
      </c>
      <c r="J19" s="15"/>
      <c r="L19" s="20">
        <f>'TR TE'!$L$19*'TR TE'!$L$48</f>
        <v>0</v>
      </c>
      <c r="M19" s="20">
        <f>'TR TE'!$M$19*'TR TE'!$M$48</f>
        <v>0</v>
      </c>
      <c r="N19" s="20">
        <f>'TR TE'!$N$19*'TR TE'!$N$48</f>
        <v>0</v>
      </c>
      <c r="O19" s="20">
        <f>'TR TE'!$O$19*'TR TE'!$O$48</f>
        <v>0</v>
      </c>
      <c r="P19" s="20">
        <f>'TR TE'!$P$19*'TR TE'!$P$48</f>
        <v>0</v>
      </c>
      <c r="Q19" s="20">
        <f>SUM($L$19:$P$19)</f>
        <v>0</v>
      </c>
      <c r="R19" s="20">
        <f>'TR TE'!$R$19*'TR TE'!$R$48</f>
        <v>124.8702548109523</v>
      </c>
      <c r="S19" s="20">
        <f>SUM($R$19:$R$19)</f>
        <v>124.8702548109523</v>
      </c>
      <c r="T19" s="20">
        <f>'TR TE'!$T$19*'TR TE'!$T$48</f>
        <v>0</v>
      </c>
      <c r="U19" s="20">
        <f>'TR TE'!$U$19*'TR TE'!$U$48</f>
        <v>0</v>
      </c>
      <c r="V19" s="20">
        <f>'TR TE'!$V$19*'TR TE'!$V$48</f>
        <v>0</v>
      </c>
      <c r="W19" s="20">
        <f>SUM($T$19:$V$19)</f>
        <v>0</v>
      </c>
      <c r="X19" s="20"/>
      <c r="Y19" s="20">
        <f>SUM($X$19:$X$19)</f>
        <v>0</v>
      </c>
      <c r="Z19" s="20">
        <f>'TR TE'!$Z$19*'TR TE'!$Z$48</f>
        <v>0</v>
      </c>
      <c r="AA19" s="20">
        <f>SUM($Z$19:$Z$19)</f>
        <v>0</v>
      </c>
      <c r="AB19" s="20">
        <f>SUMIF($L$4:$AA$4,"SUBTOTAL",$L$19:$AA$19)</f>
        <v>124.8702548109523</v>
      </c>
    </row>
    <row r="20" spans="1:28" ht="11.25" customHeight="1" x14ac:dyDescent="0.3">
      <c r="A20" s="96" t="s">
        <v>42</v>
      </c>
      <c r="B20" s="96" t="s">
        <v>68</v>
      </c>
      <c r="C20" s="96" t="s">
        <v>43</v>
      </c>
      <c r="D20" s="96" t="s">
        <v>25</v>
      </c>
      <c r="E20" s="96" t="s">
        <v>25</v>
      </c>
      <c r="F20" s="96" t="s">
        <v>25</v>
      </c>
      <c r="G20" s="23" t="s">
        <v>70</v>
      </c>
      <c r="H20" s="23" t="s">
        <v>69</v>
      </c>
      <c r="I20" s="23">
        <f>'MERCADO TE'!$U$17</f>
        <v>0</v>
      </c>
      <c r="J20" s="15"/>
      <c r="L20" s="20">
        <f>'TR TE'!$L$20*'TR TE'!$L$48</f>
        <v>0</v>
      </c>
      <c r="M20" s="20">
        <f>'TR TE'!$M$20*'TR TE'!$M$48</f>
        <v>0</v>
      </c>
      <c r="N20" s="20">
        <f>'TR TE'!$N$20*'TR TE'!$N$48</f>
        <v>0</v>
      </c>
      <c r="O20" s="20">
        <f>'TR TE'!$O$20*'TR TE'!$O$48</f>
        <v>0</v>
      </c>
      <c r="P20" s="20">
        <f>'TR TE'!$P$20*'TR TE'!$P$48</f>
        <v>0</v>
      </c>
      <c r="Q20" s="20">
        <f>SUM($L$20:$P$20)</f>
        <v>0</v>
      </c>
      <c r="R20" s="20">
        <f>'TR TE'!$R$20*'TR TE'!$R$48</f>
        <v>124.8702548109523</v>
      </c>
      <c r="S20" s="20">
        <f>SUM($R$20:$R$20)</f>
        <v>124.8702548109523</v>
      </c>
      <c r="T20" s="20">
        <f>'TR TE'!$T$20*'TR TE'!$T$48</f>
        <v>0</v>
      </c>
      <c r="U20" s="20">
        <f>'TR TE'!$U$20*'TR TE'!$U$48</f>
        <v>0</v>
      </c>
      <c r="V20" s="20">
        <f>'TR TE'!$V$20*'TR TE'!$V$48</f>
        <v>0</v>
      </c>
      <c r="W20" s="20">
        <f>SUM($T$20:$V$20)</f>
        <v>0</v>
      </c>
      <c r="X20" s="20"/>
      <c r="Y20" s="20">
        <f>SUM($X$20:$X$20)</f>
        <v>0</v>
      </c>
      <c r="Z20" s="20">
        <f>'TR TE'!$Z$20*'TR TE'!$Z$48</f>
        <v>0</v>
      </c>
      <c r="AA20" s="20">
        <f>SUM($Z$20:$Z$20)</f>
        <v>0</v>
      </c>
      <c r="AB20" s="20">
        <f>SUMIF($L$4:$AA$4,"SUBTOTAL",$L$20:$AA$20)</f>
        <v>124.8702548109523</v>
      </c>
    </row>
    <row r="21" spans="1:28" ht="11.25" customHeight="1" x14ac:dyDescent="0.3">
      <c r="A21" s="96"/>
      <c r="B21" s="96"/>
      <c r="C21" s="96"/>
      <c r="D21" s="96"/>
      <c r="E21" s="96"/>
      <c r="F21" s="96"/>
      <c r="G21" s="23" t="s">
        <v>81</v>
      </c>
      <c r="H21" s="23" t="s">
        <v>69</v>
      </c>
      <c r="I21" s="23">
        <f>'MERCADO TE'!$U$18</f>
        <v>0</v>
      </c>
      <c r="J21" s="15"/>
      <c r="L21" s="20">
        <f>'TR TE'!$L$21*'TR TE'!$L$48</f>
        <v>0</v>
      </c>
      <c r="M21" s="20">
        <f>'TR TE'!$M$21*'TR TE'!$M$48</f>
        <v>0</v>
      </c>
      <c r="N21" s="20">
        <f>'TR TE'!$N$21*'TR TE'!$N$48</f>
        <v>0</v>
      </c>
      <c r="O21" s="20">
        <f>'TR TE'!$O$21*'TR TE'!$O$48</f>
        <v>0</v>
      </c>
      <c r="P21" s="20">
        <f>'TR TE'!$P$21*'TR TE'!$P$48</f>
        <v>0</v>
      </c>
      <c r="Q21" s="20">
        <f>SUM($L$21:$P$21)</f>
        <v>0</v>
      </c>
      <c r="R21" s="20">
        <f>'TR TE'!$R$21*'TR TE'!$R$48</f>
        <v>124.8702548109523</v>
      </c>
      <c r="S21" s="20">
        <f>SUM($R$21:$R$21)</f>
        <v>124.8702548109523</v>
      </c>
      <c r="T21" s="20">
        <f>'TR TE'!$T$21*'TR TE'!$T$48</f>
        <v>0</v>
      </c>
      <c r="U21" s="20">
        <f>'TR TE'!$U$21*'TR TE'!$U$48</f>
        <v>0</v>
      </c>
      <c r="V21" s="20">
        <f>'TR TE'!$V$21*'TR TE'!$V$48</f>
        <v>0</v>
      </c>
      <c r="W21" s="20">
        <f>SUM($T$21:$V$21)</f>
        <v>0</v>
      </c>
      <c r="X21" s="20"/>
      <c r="Y21" s="20">
        <f>SUM($X$21:$X$21)</f>
        <v>0</v>
      </c>
      <c r="Z21" s="20">
        <f>'TR TE'!$Z$21*'TR TE'!$Z$48</f>
        <v>0</v>
      </c>
      <c r="AA21" s="20">
        <f>SUM($Z$21:$Z$21)</f>
        <v>0</v>
      </c>
      <c r="AB21" s="20">
        <f>SUMIF($L$4:$AA$4,"SUBTOTAL",$L$21:$AA$21)</f>
        <v>124.8702548109523</v>
      </c>
    </row>
    <row r="22" spans="1:28" ht="11.25" customHeight="1" x14ac:dyDescent="0.3">
      <c r="A22" s="96"/>
      <c r="B22" s="96"/>
      <c r="C22" s="96"/>
      <c r="D22" s="96"/>
      <c r="E22" s="96"/>
      <c r="F22" s="96"/>
      <c r="G22" s="23" t="s">
        <v>71</v>
      </c>
      <c r="H22" s="23" t="s">
        <v>69</v>
      </c>
      <c r="I22" s="23">
        <f>'MERCADO TE'!$U$19</f>
        <v>0</v>
      </c>
      <c r="J22" s="15"/>
      <c r="L22" s="20">
        <f>'TR TE'!$L$22*'TR TE'!$L$48</f>
        <v>0</v>
      </c>
      <c r="M22" s="20">
        <f>'TR TE'!$M$22*'TR TE'!$M$48</f>
        <v>0</v>
      </c>
      <c r="N22" s="20">
        <f>'TR TE'!$N$22*'TR TE'!$N$48</f>
        <v>0</v>
      </c>
      <c r="O22" s="20">
        <f>'TR TE'!$O$22*'TR TE'!$O$48</f>
        <v>0</v>
      </c>
      <c r="P22" s="20">
        <f>'TR TE'!$P$22*'TR TE'!$P$48</f>
        <v>0</v>
      </c>
      <c r="Q22" s="20">
        <f>SUM($L$22:$P$22)</f>
        <v>0</v>
      </c>
      <c r="R22" s="20">
        <f>'TR TE'!$R$22*'TR TE'!$R$48</f>
        <v>124.8702548109523</v>
      </c>
      <c r="S22" s="20">
        <f>SUM($R$22:$R$22)</f>
        <v>124.8702548109523</v>
      </c>
      <c r="T22" s="20">
        <f>'TR TE'!$T$22*'TR TE'!$T$48</f>
        <v>0</v>
      </c>
      <c r="U22" s="20">
        <f>'TR TE'!$U$22*'TR TE'!$U$48</f>
        <v>0</v>
      </c>
      <c r="V22" s="20">
        <f>'TR TE'!$V$22*'TR TE'!$V$48</f>
        <v>0</v>
      </c>
      <c r="W22" s="20">
        <f>SUM($T$22:$V$22)</f>
        <v>0</v>
      </c>
      <c r="X22" s="20"/>
      <c r="Y22" s="20">
        <f>SUM($X$22:$X$22)</f>
        <v>0</v>
      </c>
      <c r="Z22" s="20">
        <f>'TR TE'!$Z$22*'TR TE'!$Z$48</f>
        <v>0</v>
      </c>
      <c r="AA22" s="20">
        <f>SUM($Z$22:$Z$22)</f>
        <v>0</v>
      </c>
      <c r="AB22" s="20">
        <f>SUMIF($L$4:$AA$4,"SUBTOTAL",$L$22:$AA$22)</f>
        <v>124.8702548109523</v>
      </c>
    </row>
    <row r="23" spans="1:28" ht="11.25" customHeight="1" x14ac:dyDescent="0.3">
      <c r="A23" s="96"/>
      <c r="B23" s="22" t="s">
        <v>82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75</v>
      </c>
      <c r="H23" s="23" t="s">
        <v>69</v>
      </c>
      <c r="I23" s="23">
        <f>'MERCADO TE'!$U$20</f>
        <v>3371.0129999999999</v>
      </c>
      <c r="J23" s="15"/>
      <c r="L23" s="20">
        <f>'TR TE'!$L$23*'TR TE'!$L$48</f>
        <v>0</v>
      </c>
      <c r="M23" s="20">
        <f>'TR TE'!$M$23*'TR TE'!$M$48</f>
        <v>0</v>
      </c>
      <c r="N23" s="20">
        <f>'TR TE'!$N$23*'TR TE'!$N$48</f>
        <v>0</v>
      </c>
      <c r="O23" s="20">
        <f>'TR TE'!$O$23*'TR TE'!$O$48</f>
        <v>0</v>
      </c>
      <c r="P23" s="20">
        <f>'TR TE'!$P$23*'TR TE'!$P$48</f>
        <v>0</v>
      </c>
      <c r="Q23" s="20">
        <f>SUM($L$23:$P$23)</f>
        <v>0</v>
      </c>
      <c r="R23" s="20">
        <f>'TR TE'!$R$23*'TR TE'!$R$48</f>
        <v>124.8702548109523</v>
      </c>
      <c r="S23" s="20">
        <f>SUM($R$23:$R$23)</f>
        <v>124.8702548109523</v>
      </c>
      <c r="T23" s="20">
        <f>'TR TE'!$T$23*'TR TE'!$T$48</f>
        <v>0</v>
      </c>
      <c r="U23" s="20">
        <f>'TR TE'!$U$23*'TR TE'!$U$48</f>
        <v>0</v>
      </c>
      <c r="V23" s="20">
        <f>'TR TE'!$V$23*'TR TE'!$V$48</f>
        <v>0</v>
      </c>
      <c r="W23" s="20">
        <f>SUM($T$23:$V$23)</f>
        <v>0</v>
      </c>
      <c r="X23" s="20"/>
      <c r="Y23" s="20">
        <f>SUM($X$23:$X$23)</f>
        <v>0</v>
      </c>
      <c r="Z23" s="20">
        <f>'TR TE'!$Z$23*'TR TE'!$Z$48</f>
        <v>0</v>
      </c>
      <c r="AA23" s="20">
        <f>SUM($Z$23:$Z$23)</f>
        <v>0</v>
      </c>
      <c r="AB23" s="20">
        <f>SUMIF($L$4:$AA$4,"SUBTOTAL",$L$23:$AA$23)</f>
        <v>124.8702548109523</v>
      </c>
    </row>
    <row r="24" spans="1:28" ht="11.25" customHeight="1" x14ac:dyDescent="0.3">
      <c r="A24" s="96"/>
      <c r="B24" s="96" t="s">
        <v>68</v>
      </c>
      <c r="C24" s="96" t="s">
        <v>43</v>
      </c>
      <c r="D24" s="96" t="s">
        <v>85</v>
      </c>
      <c r="E24" s="96" t="s">
        <v>25</v>
      </c>
      <c r="F24" s="96" t="s">
        <v>25</v>
      </c>
      <c r="G24" s="23" t="s">
        <v>70</v>
      </c>
      <c r="H24" s="23" t="s">
        <v>69</v>
      </c>
      <c r="I24" s="23">
        <f>'MERCADO TE'!$U$21</f>
        <v>0</v>
      </c>
      <c r="J24" s="15"/>
      <c r="L24" s="20">
        <f>'TR TE'!$L$24*'TR TE'!$L$48</f>
        <v>0</v>
      </c>
      <c r="M24" s="20">
        <f>'TR TE'!$M$24*'TR TE'!$M$48</f>
        <v>0</v>
      </c>
      <c r="N24" s="20">
        <f>'TR TE'!$N$24*'TR TE'!$N$48</f>
        <v>0</v>
      </c>
      <c r="O24" s="20">
        <f>'TR TE'!$O$24*'TR TE'!$O$48</f>
        <v>0</v>
      </c>
      <c r="P24" s="20">
        <f>'TR TE'!$P$24*'TR TE'!$P$48</f>
        <v>0</v>
      </c>
      <c r="Q24" s="20">
        <f>SUM($L$24:$P$24)</f>
        <v>0</v>
      </c>
      <c r="R24" s="20">
        <f>'TR TE'!$R$24*'TR TE'!$R$48</f>
        <v>124.8702548109523</v>
      </c>
      <c r="S24" s="20">
        <f>SUM($R$24:$R$24)</f>
        <v>124.8702548109523</v>
      </c>
      <c r="T24" s="20">
        <f>'TR TE'!$T$24*'TR TE'!$T$48</f>
        <v>0</v>
      </c>
      <c r="U24" s="20">
        <f>'TR TE'!$U$24*'TR TE'!$U$48</f>
        <v>0</v>
      </c>
      <c r="V24" s="20">
        <f>'TR TE'!$V$24*'TR TE'!$V$48</f>
        <v>0</v>
      </c>
      <c r="W24" s="20">
        <f>SUM($T$24:$V$24)</f>
        <v>0</v>
      </c>
      <c r="X24" s="20"/>
      <c r="Y24" s="20">
        <f>SUM($X$24:$X$24)</f>
        <v>0</v>
      </c>
      <c r="Z24" s="20">
        <f>'TR TE'!$Z$24*'TR TE'!$Z$48</f>
        <v>0</v>
      </c>
      <c r="AA24" s="20">
        <f>SUM($Z$24:$Z$24)</f>
        <v>0</v>
      </c>
      <c r="AB24" s="20">
        <f>SUMIF($L$4:$AA$4,"SUBTOTAL",$L$24:$AA$24)</f>
        <v>124.8702548109523</v>
      </c>
    </row>
    <row r="25" spans="1:28" ht="11.25" customHeight="1" x14ac:dyDescent="0.3">
      <c r="A25" s="96"/>
      <c r="B25" s="96"/>
      <c r="C25" s="96"/>
      <c r="D25" s="96"/>
      <c r="E25" s="96"/>
      <c r="F25" s="96"/>
      <c r="G25" s="23" t="s">
        <v>81</v>
      </c>
      <c r="H25" s="23" t="s">
        <v>69</v>
      </c>
      <c r="I25" s="23">
        <f>'MERCADO TE'!$U$22</f>
        <v>0</v>
      </c>
      <c r="J25" s="15"/>
      <c r="L25" s="20">
        <f>'TR TE'!$L$25*'TR TE'!$L$48</f>
        <v>0</v>
      </c>
      <c r="M25" s="20">
        <f>'TR TE'!$M$25*'TR TE'!$M$48</f>
        <v>0</v>
      </c>
      <c r="N25" s="20">
        <f>'TR TE'!$N$25*'TR TE'!$N$48</f>
        <v>0</v>
      </c>
      <c r="O25" s="20">
        <f>'TR TE'!$O$25*'TR TE'!$O$48</f>
        <v>0</v>
      </c>
      <c r="P25" s="20">
        <f>'TR TE'!$P$25*'TR TE'!$P$48</f>
        <v>0</v>
      </c>
      <c r="Q25" s="20">
        <f>SUM($L$25:$P$25)</f>
        <v>0</v>
      </c>
      <c r="R25" s="20">
        <f>'TR TE'!$R$25*'TR TE'!$R$48</f>
        <v>124.8702548109523</v>
      </c>
      <c r="S25" s="20">
        <f>SUM($R$25:$R$25)</f>
        <v>124.8702548109523</v>
      </c>
      <c r="T25" s="20">
        <f>'TR TE'!$T$25*'TR TE'!$T$48</f>
        <v>0</v>
      </c>
      <c r="U25" s="20">
        <f>'TR TE'!$U$25*'TR TE'!$U$48</f>
        <v>0</v>
      </c>
      <c r="V25" s="20">
        <f>'TR TE'!$V$25*'TR TE'!$V$48</f>
        <v>0</v>
      </c>
      <c r="W25" s="20">
        <f>SUM($T$25:$V$25)</f>
        <v>0</v>
      </c>
      <c r="X25" s="20"/>
      <c r="Y25" s="20">
        <f>SUM($X$25:$X$25)</f>
        <v>0</v>
      </c>
      <c r="Z25" s="20">
        <f>'TR TE'!$Z$25*'TR TE'!$Z$48</f>
        <v>0</v>
      </c>
      <c r="AA25" s="20">
        <f>SUM($Z$25:$Z$25)</f>
        <v>0</v>
      </c>
      <c r="AB25" s="20">
        <f>SUMIF($L$4:$AA$4,"SUBTOTAL",$L$25:$AA$25)</f>
        <v>124.8702548109523</v>
      </c>
    </row>
    <row r="26" spans="1:28" ht="11.25" customHeight="1" x14ac:dyDescent="0.3">
      <c r="A26" s="96"/>
      <c r="B26" s="96"/>
      <c r="C26" s="96"/>
      <c r="D26" s="96"/>
      <c r="E26" s="96"/>
      <c r="F26" s="96"/>
      <c r="G26" s="23" t="s">
        <v>71</v>
      </c>
      <c r="H26" s="23" t="s">
        <v>69</v>
      </c>
      <c r="I26" s="23">
        <f>'MERCADO TE'!$U$23</f>
        <v>0</v>
      </c>
      <c r="J26" s="15"/>
      <c r="L26" s="20">
        <f>'TR TE'!$L$26*'TR TE'!$L$48</f>
        <v>0</v>
      </c>
      <c r="M26" s="20">
        <f>'TR TE'!$M$26*'TR TE'!$M$48</f>
        <v>0</v>
      </c>
      <c r="N26" s="20">
        <f>'TR TE'!$N$26*'TR TE'!$N$48</f>
        <v>0</v>
      </c>
      <c r="O26" s="20">
        <f>'TR TE'!$O$26*'TR TE'!$O$48</f>
        <v>0</v>
      </c>
      <c r="P26" s="20">
        <f>'TR TE'!$P$26*'TR TE'!$P$48</f>
        <v>0</v>
      </c>
      <c r="Q26" s="20">
        <f>SUM($L$26:$P$26)</f>
        <v>0</v>
      </c>
      <c r="R26" s="20">
        <f>'TR TE'!$R$26*'TR TE'!$R$48</f>
        <v>124.8702548109523</v>
      </c>
      <c r="S26" s="20">
        <f>SUM($R$26:$R$26)</f>
        <v>124.8702548109523</v>
      </c>
      <c r="T26" s="20">
        <f>'TR TE'!$T$26*'TR TE'!$T$48</f>
        <v>0</v>
      </c>
      <c r="U26" s="20">
        <f>'TR TE'!$U$26*'TR TE'!$U$48</f>
        <v>0</v>
      </c>
      <c r="V26" s="20">
        <f>'TR TE'!$V$26*'TR TE'!$V$48</f>
        <v>0</v>
      </c>
      <c r="W26" s="20">
        <f>SUM($T$26:$V$26)</f>
        <v>0</v>
      </c>
      <c r="X26" s="20"/>
      <c r="Y26" s="20">
        <f>SUM($X$26:$X$26)</f>
        <v>0</v>
      </c>
      <c r="Z26" s="20">
        <f>'TR TE'!$Z$26*'TR TE'!$Z$48</f>
        <v>0</v>
      </c>
      <c r="AA26" s="20">
        <f>SUM($Z$26:$Z$26)</f>
        <v>0</v>
      </c>
      <c r="AB26" s="20">
        <f>SUMIF($L$4:$AA$4,"SUBTOTAL",$L$26:$AA$26)</f>
        <v>124.8702548109523</v>
      </c>
    </row>
    <row r="27" spans="1:28" ht="11.25" customHeight="1" x14ac:dyDescent="0.3">
      <c r="A27" s="96"/>
      <c r="B27" s="22" t="s">
        <v>82</v>
      </c>
      <c r="C27" s="22" t="s">
        <v>43</v>
      </c>
      <c r="D27" s="22" t="s">
        <v>85</v>
      </c>
      <c r="E27" s="22" t="s">
        <v>25</v>
      </c>
      <c r="F27" s="22" t="s">
        <v>25</v>
      </c>
      <c r="G27" s="23" t="s">
        <v>75</v>
      </c>
      <c r="H27" s="23" t="s">
        <v>69</v>
      </c>
      <c r="I27" s="23">
        <f>'MERCADO TE'!$U$24</f>
        <v>0</v>
      </c>
      <c r="J27" s="15"/>
      <c r="L27" s="20">
        <f>'TR TE'!$L$27*'TR TE'!$L$48</f>
        <v>0</v>
      </c>
      <c r="M27" s="20">
        <f>'TR TE'!$M$27*'TR TE'!$M$48</f>
        <v>0</v>
      </c>
      <c r="N27" s="20">
        <f>'TR TE'!$N$27*'TR TE'!$N$48</f>
        <v>0</v>
      </c>
      <c r="O27" s="20">
        <f>'TR TE'!$O$27*'TR TE'!$O$48</f>
        <v>0</v>
      </c>
      <c r="P27" s="20">
        <f>'TR TE'!$P$27*'TR TE'!$P$48</f>
        <v>0</v>
      </c>
      <c r="Q27" s="20">
        <f>SUM($L$27:$P$27)</f>
        <v>0</v>
      </c>
      <c r="R27" s="20">
        <f>'TR TE'!$R$27*'TR TE'!$R$48</f>
        <v>124.8702548109523</v>
      </c>
      <c r="S27" s="20">
        <f>SUM($R$27:$R$27)</f>
        <v>124.8702548109523</v>
      </c>
      <c r="T27" s="20">
        <f>'TR TE'!$T$27*'TR TE'!$T$48</f>
        <v>0</v>
      </c>
      <c r="U27" s="20">
        <f>'TR TE'!$U$27*'TR TE'!$U$48</f>
        <v>0</v>
      </c>
      <c r="V27" s="20">
        <f>'TR TE'!$V$27*'TR TE'!$V$48</f>
        <v>0</v>
      </c>
      <c r="W27" s="20">
        <f>SUM($T$27:$V$27)</f>
        <v>0</v>
      </c>
      <c r="X27" s="20"/>
      <c r="Y27" s="20">
        <f>SUM($X$27:$X$27)</f>
        <v>0</v>
      </c>
      <c r="Z27" s="20">
        <f>'TR TE'!$Z$27*'TR TE'!$Z$48</f>
        <v>0</v>
      </c>
      <c r="AA27" s="20">
        <f>SUM($Z$27:$Z$27)</f>
        <v>0</v>
      </c>
      <c r="AB27" s="20">
        <f>SUMIF($L$4:$AA$4,"SUBTOTAL",$L$27:$AA$27)</f>
        <v>124.8702548109523</v>
      </c>
    </row>
    <row r="28" spans="1:28" ht="11.25" customHeight="1" x14ac:dyDescent="0.3">
      <c r="A28" s="96"/>
      <c r="B28" s="96" t="s">
        <v>68</v>
      </c>
      <c r="C28" s="96" t="s">
        <v>43</v>
      </c>
      <c r="D28" s="96" t="s">
        <v>86</v>
      </c>
      <c r="E28" s="96" t="s">
        <v>25</v>
      </c>
      <c r="F28" s="96" t="s">
        <v>25</v>
      </c>
      <c r="G28" s="23" t="s">
        <v>70</v>
      </c>
      <c r="H28" s="23" t="s">
        <v>69</v>
      </c>
      <c r="I28" s="23">
        <f>'MERCADO TE'!$U$25</f>
        <v>0</v>
      </c>
      <c r="J28" s="15"/>
      <c r="L28" s="20">
        <f>'TR TE'!$L$28*'TR TE'!$L$48</f>
        <v>0</v>
      </c>
      <c r="M28" s="20">
        <f>'TR TE'!$M$28*'TR TE'!$M$48</f>
        <v>0</v>
      </c>
      <c r="N28" s="20">
        <f>'TR TE'!$N$28*'TR TE'!$N$48</f>
        <v>0</v>
      </c>
      <c r="O28" s="20">
        <f>'TR TE'!$O$28*'TR TE'!$O$48</f>
        <v>0</v>
      </c>
      <c r="P28" s="20">
        <f>'TR TE'!$P$28*'TR TE'!$P$48</f>
        <v>0</v>
      </c>
      <c r="Q28" s="20">
        <f>SUM($L$28:$P$28)</f>
        <v>0</v>
      </c>
      <c r="R28" s="20">
        <f>'TR TE'!$R$28*'TR TE'!$R$48</f>
        <v>124.8702548109523</v>
      </c>
      <c r="S28" s="20">
        <f>SUM($R$28:$R$28)</f>
        <v>124.8702548109523</v>
      </c>
      <c r="T28" s="20">
        <f>'TR TE'!$T$28*'TR TE'!$T$48</f>
        <v>0</v>
      </c>
      <c r="U28" s="20">
        <f>'TR TE'!$U$28*'TR TE'!$U$48</f>
        <v>0</v>
      </c>
      <c r="V28" s="20">
        <f>'TR TE'!$V$28*'TR TE'!$V$48</f>
        <v>0</v>
      </c>
      <c r="W28" s="20">
        <f>SUM($T$28:$V$28)</f>
        <v>0</v>
      </c>
      <c r="X28" s="20"/>
      <c r="Y28" s="20">
        <f>SUM($X$28:$X$28)</f>
        <v>0</v>
      </c>
      <c r="Z28" s="20">
        <f>'TR TE'!$Z$28*'TR TE'!$Z$48</f>
        <v>0</v>
      </c>
      <c r="AA28" s="20">
        <f>SUM($Z$28:$Z$28)</f>
        <v>0</v>
      </c>
      <c r="AB28" s="20">
        <f>SUMIF($L$4:$AA$4,"SUBTOTAL",$L$28:$AA$28)</f>
        <v>124.8702548109523</v>
      </c>
    </row>
    <row r="29" spans="1:28" ht="11.25" customHeight="1" x14ac:dyDescent="0.3">
      <c r="A29" s="96"/>
      <c r="B29" s="96"/>
      <c r="C29" s="96"/>
      <c r="D29" s="96"/>
      <c r="E29" s="96"/>
      <c r="F29" s="96"/>
      <c r="G29" s="23" t="s">
        <v>81</v>
      </c>
      <c r="H29" s="23" t="s">
        <v>69</v>
      </c>
      <c r="I29" s="23">
        <f>'MERCADO TE'!$U$26</f>
        <v>0</v>
      </c>
      <c r="J29" s="15"/>
      <c r="L29" s="20">
        <f>'TR TE'!$L$29*'TR TE'!$L$48</f>
        <v>0</v>
      </c>
      <c r="M29" s="20">
        <f>'TR TE'!$M$29*'TR TE'!$M$48</f>
        <v>0</v>
      </c>
      <c r="N29" s="20">
        <f>'TR TE'!$N$29*'TR TE'!$N$48</f>
        <v>0</v>
      </c>
      <c r="O29" s="20">
        <f>'TR TE'!$O$29*'TR TE'!$O$48</f>
        <v>0</v>
      </c>
      <c r="P29" s="20">
        <f>'TR TE'!$P$29*'TR TE'!$P$48</f>
        <v>0</v>
      </c>
      <c r="Q29" s="20">
        <f>SUM($L$29:$P$29)</f>
        <v>0</v>
      </c>
      <c r="R29" s="20">
        <f>'TR TE'!$R$29*'TR TE'!$R$48</f>
        <v>124.8702548109523</v>
      </c>
      <c r="S29" s="20">
        <f>SUM($R$29:$R$29)</f>
        <v>124.8702548109523</v>
      </c>
      <c r="T29" s="20">
        <f>'TR TE'!$T$29*'TR TE'!$T$48</f>
        <v>0</v>
      </c>
      <c r="U29" s="20">
        <f>'TR TE'!$U$29*'TR TE'!$U$48</f>
        <v>0</v>
      </c>
      <c r="V29" s="20">
        <f>'TR TE'!$V$29*'TR TE'!$V$48</f>
        <v>0</v>
      </c>
      <c r="W29" s="20">
        <f>SUM($T$29:$V$29)</f>
        <v>0</v>
      </c>
      <c r="X29" s="20"/>
      <c r="Y29" s="20">
        <f>SUM($X$29:$X$29)</f>
        <v>0</v>
      </c>
      <c r="Z29" s="20">
        <f>'TR TE'!$Z$29*'TR TE'!$Z$48</f>
        <v>0</v>
      </c>
      <c r="AA29" s="20">
        <f>SUM($Z$29:$Z$29)</f>
        <v>0</v>
      </c>
      <c r="AB29" s="20">
        <f>SUMIF($L$4:$AA$4,"SUBTOTAL",$L$29:$AA$29)</f>
        <v>124.8702548109523</v>
      </c>
    </row>
    <row r="30" spans="1:28" ht="11.25" customHeight="1" x14ac:dyDescent="0.3">
      <c r="A30" s="96"/>
      <c r="B30" s="96"/>
      <c r="C30" s="96"/>
      <c r="D30" s="96"/>
      <c r="E30" s="96"/>
      <c r="F30" s="96"/>
      <c r="G30" s="23" t="s">
        <v>71</v>
      </c>
      <c r="H30" s="23" t="s">
        <v>69</v>
      </c>
      <c r="I30" s="23">
        <f>'MERCADO TE'!$U$27</f>
        <v>0</v>
      </c>
      <c r="J30" s="15"/>
      <c r="L30" s="20">
        <f>'TR TE'!$L$30*'TR TE'!$L$48</f>
        <v>0</v>
      </c>
      <c r="M30" s="20">
        <f>'TR TE'!$M$30*'TR TE'!$M$48</f>
        <v>0</v>
      </c>
      <c r="N30" s="20">
        <f>'TR TE'!$N$30*'TR TE'!$N$48</f>
        <v>0</v>
      </c>
      <c r="O30" s="20">
        <f>'TR TE'!$O$30*'TR TE'!$O$48</f>
        <v>0</v>
      </c>
      <c r="P30" s="20">
        <f>'TR TE'!$P$30*'TR TE'!$P$48</f>
        <v>0</v>
      </c>
      <c r="Q30" s="20">
        <f>SUM($L$30:$P$30)</f>
        <v>0</v>
      </c>
      <c r="R30" s="20">
        <f>'TR TE'!$R$30*'TR TE'!$R$48</f>
        <v>124.8702548109523</v>
      </c>
      <c r="S30" s="20">
        <f>SUM($R$30:$R$30)</f>
        <v>124.8702548109523</v>
      </c>
      <c r="T30" s="20">
        <f>'TR TE'!$T$30*'TR TE'!$T$48</f>
        <v>0</v>
      </c>
      <c r="U30" s="20">
        <f>'TR TE'!$U$30*'TR TE'!$U$48</f>
        <v>0</v>
      </c>
      <c r="V30" s="20">
        <f>'TR TE'!$V$30*'TR TE'!$V$48</f>
        <v>0</v>
      </c>
      <c r="W30" s="20">
        <f>SUM($T$30:$V$30)</f>
        <v>0</v>
      </c>
      <c r="X30" s="20"/>
      <c r="Y30" s="20">
        <f>SUM($X$30:$X$30)</f>
        <v>0</v>
      </c>
      <c r="Z30" s="20">
        <f>'TR TE'!$Z$30*'TR TE'!$Z$48</f>
        <v>0</v>
      </c>
      <c r="AA30" s="20">
        <f>SUM($Z$30:$Z$30)</f>
        <v>0</v>
      </c>
      <c r="AB30" s="20">
        <f>SUMIF($L$4:$AA$4,"SUBTOTAL",$L$30:$AA$30)</f>
        <v>124.8702548109523</v>
      </c>
    </row>
    <row r="31" spans="1:28" ht="11.25" customHeight="1" x14ac:dyDescent="0.3">
      <c r="A31" s="96"/>
      <c r="B31" s="22" t="s">
        <v>82</v>
      </c>
      <c r="C31" s="22" t="s">
        <v>43</v>
      </c>
      <c r="D31" s="22" t="s">
        <v>86</v>
      </c>
      <c r="E31" s="22" t="s">
        <v>25</v>
      </c>
      <c r="F31" s="22" t="s">
        <v>25</v>
      </c>
      <c r="G31" s="23" t="s">
        <v>75</v>
      </c>
      <c r="H31" s="23" t="s">
        <v>69</v>
      </c>
      <c r="I31" s="23">
        <f>'MERCADO TE'!$U$28</f>
        <v>0</v>
      </c>
      <c r="J31" s="15"/>
      <c r="L31" s="20">
        <f>'TR TE'!$L$31*'TR TE'!$L$48</f>
        <v>0</v>
      </c>
      <c r="M31" s="20">
        <f>'TR TE'!$M$31*'TR TE'!$M$48</f>
        <v>0</v>
      </c>
      <c r="N31" s="20">
        <f>'TR TE'!$N$31*'TR TE'!$N$48</f>
        <v>0</v>
      </c>
      <c r="O31" s="20">
        <f>'TR TE'!$O$31*'TR TE'!$O$48</f>
        <v>0</v>
      </c>
      <c r="P31" s="20">
        <f>'TR TE'!$P$31*'TR TE'!$P$48</f>
        <v>0</v>
      </c>
      <c r="Q31" s="20">
        <f>SUM($L$31:$P$31)</f>
        <v>0</v>
      </c>
      <c r="R31" s="20">
        <f>'TR TE'!$R$31*'TR TE'!$R$48</f>
        <v>124.8702548109523</v>
      </c>
      <c r="S31" s="20">
        <f>SUM($R$31:$R$31)</f>
        <v>124.8702548109523</v>
      </c>
      <c r="T31" s="20">
        <f>'TR TE'!$T$31*'TR TE'!$T$48</f>
        <v>0</v>
      </c>
      <c r="U31" s="20">
        <f>'TR TE'!$U$31*'TR TE'!$U$48</f>
        <v>0</v>
      </c>
      <c r="V31" s="20">
        <f>'TR TE'!$V$31*'TR TE'!$V$48</f>
        <v>0</v>
      </c>
      <c r="W31" s="20">
        <f>SUM($T$31:$V$31)</f>
        <v>0</v>
      </c>
      <c r="X31" s="20"/>
      <c r="Y31" s="20">
        <f>SUM($X$31:$X$31)</f>
        <v>0</v>
      </c>
      <c r="Z31" s="20">
        <f>'TR TE'!$Z$31*'TR TE'!$Z$48</f>
        <v>0</v>
      </c>
      <c r="AA31" s="20">
        <f>SUM($Z$31:$Z$31)</f>
        <v>0</v>
      </c>
      <c r="AB31" s="20">
        <f>SUMIF($L$4:$AA$4,"SUBTOTAL",$L$31:$AA$31)</f>
        <v>124.8702548109523</v>
      </c>
    </row>
    <row r="32" spans="1:28" ht="11.25" customHeight="1" x14ac:dyDescent="0.3">
      <c r="A32" s="96"/>
      <c r="B32" s="96" t="s">
        <v>83</v>
      </c>
      <c r="C32" s="96" t="s">
        <v>43</v>
      </c>
      <c r="D32" s="22" t="s">
        <v>25</v>
      </c>
      <c r="E32" s="22" t="s">
        <v>25</v>
      </c>
      <c r="F32" s="22" t="s">
        <v>25</v>
      </c>
      <c r="G32" s="23" t="s">
        <v>75</v>
      </c>
      <c r="H32" s="23" t="s">
        <v>69</v>
      </c>
      <c r="I32" s="23">
        <f>'MERCADO TE'!$U$29</f>
        <v>0</v>
      </c>
      <c r="J32" s="15"/>
      <c r="L32" s="20">
        <f>'TR TE'!$L$32*'TR TE'!$L$48</f>
        <v>0</v>
      </c>
      <c r="M32" s="20">
        <f>'TR TE'!$M$32*'TR TE'!$M$48</f>
        <v>0</v>
      </c>
      <c r="N32" s="20">
        <f>'TR TE'!$N$32*'TR TE'!$N$48</f>
        <v>0</v>
      </c>
      <c r="O32" s="20">
        <f>'TR TE'!$O$32*'TR TE'!$O$48</f>
        <v>0</v>
      </c>
      <c r="P32" s="20">
        <f>'TR TE'!$P$32*'TR TE'!$P$48</f>
        <v>0</v>
      </c>
      <c r="Q32" s="20">
        <f>SUM($L$32:$P$32)</f>
        <v>0</v>
      </c>
      <c r="R32" s="20">
        <f>'TR TE'!$R$32*'TR TE'!$R$48</f>
        <v>124.8702548109523</v>
      </c>
      <c r="S32" s="20">
        <f>SUM($R$32:$R$32)</f>
        <v>124.8702548109523</v>
      </c>
      <c r="T32" s="20">
        <f>'TR TE'!$T$32*'TR TE'!$T$48</f>
        <v>0</v>
      </c>
      <c r="U32" s="20">
        <f>'TR TE'!$U$32*'TR TE'!$U$48</f>
        <v>0</v>
      </c>
      <c r="V32" s="20">
        <f>'TR TE'!$V$32*'TR TE'!$V$48</f>
        <v>0</v>
      </c>
      <c r="W32" s="20">
        <f>SUM($T$32:$V$32)</f>
        <v>0</v>
      </c>
      <c r="X32" s="20"/>
      <c r="Y32" s="20">
        <f>SUM($X$32:$X$32)</f>
        <v>0</v>
      </c>
      <c r="Z32" s="20">
        <f>'TR TE'!$Z$32*'TR TE'!$Z$48</f>
        <v>0</v>
      </c>
      <c r="AA32" s="20">
        <f>SUM($Z$32:$Z$32)</f>
        <v>0</v>
      </c>
      <c r="AB32" s="20">
        <f>SUMIF($L$4:$AA$4,"SUBTOTAL",$L$32:$AA$32)</f>
        <v>124.8702548109523</v>
      </c>
    </row>
    <row r="33" spans="1:28" ht="11.25" customHeight="1" x14ac:dyDescent="0.3">
      <c r="A33" s="96"/>
      <c r="B33" s="96"/>
      <c r="C33" s="96"/>
      <c r="D33" s="22" t="s">
        <v>85</v>
      </c>
      <c r="E33" s="22" t="s">
        <v>25</v>
      </c>
      <c r="F33" s="22" t="s">
        <v>25</v>
      </c>
      <c r="G33" s="23" t="s">
        <v>75</v>
      </c>
      <c r="H33" s="23" t="s">
        <v>69</v>
      </c>
      <c r="I33" s="23">
        <f>'MERCADO TE'!$U$30</f>
        <v>0</v>
      </c>
      <c r="J33" s="15"/>
      <c r="L33" s="20">
        <f>'TR TE'!$L$33*'TR TE'!$L$48</f>
        <v>0</v>
      </c>
      <c r="M33" s="20">
        <f>'TR TE'!$M$33*'TR TE'!$M$48</f>
        <v>0</v>
      </c>
      <c r="N33" s="20">
        <f>'TR TE'!$N$33*'TR TE'!$N$48</f>
        <v>0</v>
      </c>
      <c r="O33" s="20">
        <f>'TR TE'!$O$33*'TR TE'!$O$48</f>
        <v>0</v>
      </c>
      <c r="P33" s="20">
        <f>'TR TE'!$P$33*'TR TE'!$P$48</f>
        <v>0</v>
      </c>
      <c r="Q33" s="20">
        <f>SUM($L$33:$P$33)</f>
        <v>0</v>
      </c>
      <c r="R33" s="20">
        <f>'TR TE'!$R$33*'TR TE'!$R$48</f>
        <v>124.8702548109523</v>
      </c>
      <c r="S33" s="20">
        <f>SUM($R$33:$R$33)</f>
        <v>124.8702548109523</v>
      </c>
      <c r="T33" s="20">
        <f>'TR TE'!$T$33*'TR TE'!$T$48</f>
        <v>0</v>
      </c>
      <c r="U33" s="20">
        <f>'TR TE'!$U$33*'TR TE'!$U$48</f>
        <v>0</v>
      </c>
      <c r="V33" s="20">
        <f>'TR TE'!$V$33*'TR TE'!$V$48</f>
        <v>0</v>
      </c>
      <c r="W33" s="20">
        <f>SUM($T$33:$V$33)</f>
        <v>0</v>
      </c>
      <c r="X33" s="20"/>
      <c r="Y33" s="20">
        <f>SUM($X$33:$X$33)</f>
        <v>0</v>
      </c>
      <c r="Z33" s="20">
        <f>'TR TE'!$Z$33*'TR TE'!$Z$48</f>
        <v>0</v>
      </c>
      <c r="AA33" s="20">
        <f>SUM($Z$33:$Z$33)</f>
        <v>0</v>
      </c>
      <c r="AB33" s="20">
        <f>SUMIF($L$4:$AA$4,"SUBTOTAL",$L$33:$AA$33)</f>
        <v>124.8702548109523</v>
      </c>
    </row>
    <row r="34" spans="1:28" ht="11.25" customHeight="1" x14ac:dyDescent="0.3">
      <c r="A34" s="96"/>
      <c r="B34" s="96"/>
      <c r="C34" s="96"/>
      <c r="D34" s="22" t="s">
        <v>86</v>
      </c>
      <c r="E34" s="22" t="s">
        <v>25</v>
      </c>
      <c r="F34" s="22" t="s">
        <v>25</v>
      </c>
      <c r="G34" s="23" t="s">
        <v>75</v>
      </c>
      <c r="H34" s="23" t="s">
        <v>69</v>
      </c>
      <c r="I34" s="23">
        <f>'MERCADO TE'!$U$31</f>
        <v>0</v>
      </c>
      <c r="J34" s="15"/>
      <c r="L34" s="20">
        <f>'TR TE'!$L$34*'TR TE'!$L$48</f>
        <v>0</v>
      </c>
      <c r="M34" s="20">
        <f>'TR TE'!$M$34*'TR TE'!$M$48</f>
        <v>0</v>
      </c>
      <c r="N34" s="20">
        <f>'TR TE'!$N$34*'TR TE'!$N$48</f>
        <v>0</v>
      </c>
      <c r="O34" s="20">
        <f>'TR TE'!$O$34*'TR TE'!$O$48</f>
        <v>0</v>
      </c>
      <c r="P34" s="20">
        <f>'TR TE'!$P$34*'TR TE'!$P$48</f>
        <v>0</v>
      </c>
      <c r="Q34" s="20">
        <f>SUM($L$34:$P$34)</f>
        <v>0</v>
      </c>
      <c r="R34" s="20">
        <f>'TR TE'!$R$34*'TR TE'!$R$48</f>
        <v>124.8702548109523</v>
      </c>
      <c r="S34" s="20">
        <f>SUM($R$34:$R$34)</f>
        <v>124.8702548109523</v>
      </c>
      <c r="T34" s="20">
        <f>'TR TE'!$T$34*'TR TE'!$T$48</f>
        <v>0</v>
      </c>
      <c r="U34" s="20">
        <f>'TR TE'!$U$34*'TR TE'!$U$48</f>
        <v>0</v>
      </c>
      <c r="V34" s="20">
        <f>'TR TE'!$V$34*'TR TE'!$V$48</f>
        <v>0</v>
      </c>
      <c r="W34" s="20">
        <f>SUM($T$34:$V$34)</f>
        <v>0</v>
      </c>
      <c r="X34" s="20"/>
      <c r="Y34" s="20">
        <f>SUM($X$34:$X$34)</f>
        <v>0</v>
      </c>
      <c r="Z34" s="20">
        <f>'TR TE'!$Z$34*'TR TE'!$Z$48</f>
        <v>0</v>
      </c>
      <c r="AA34" s="20">
        <f>SUM($Z$34:$Z$34)</f>
        <v>0</v>
      </c>
      <c r="AB34" s="20">
        <f>SUMIF($L$4:$AA$4,"SUBTOTAL",$L$34:$AA$34)</f>
        <v>124.8702548109523</v>
      </c>
    </row>
    <row r="35" spans="1:28" ht="11.25" customHeight="1" x14ac:dyDescent="0.3">
      <c r="A35" s="96" t="s">
        <v>33</v>
      </c>
      <c r="B35" s="96" t="s">
        <v>68</v>
      </c>
      <c r="C35" s="96" t="s">
        <v>25</v>
      </c>
      <c r="D35" s="96" t="s">
        <v>25</v>
      </c>
      <c r="E35" s="96" t="s">
        <v>25</v>
      </c>
      <c r="F35" s="96" t="s">
        <v>25</v>
      </c>
      <c r="G35" s="23" t="s">
        <v>70</v>
      </c>
      <c r="H35" s="23" t="s">
        <v>69</v>
      </c>
      <c r="I35" s="23">
        <f>'MERCADO TE'!$U$32</f>
        <v>1.0529999999999999</v>
      </c>
      <c r="J35" s="15"/>
      <c r="L35" s="20">
        <f>'TR TE'!$L$35*'TR TE'!$L$48</f>
        <v>0</v>
      </c>
      <c r="M35" s="20">
        <f>'TR TE'!$M$35*'TR TE'!$M$48</f>
        <v>0</v>
      </c>
      <c r="N35" s="20">
        <f>'TR TE'!$N$35*'TR TE'!$N$48</f>
        <v>0</v>
      </c>
      <c r="O35" s="20">
        <f>'TR TE'!$O$35*'TR TE'!$O$48</f>
        <v>0</v>
      </c>
      <c r="P35" s="20">
        <f>'TR TE'!$P$35*'TR TE'!$P$48</f>
        <v>0</v>
      </c>
      <c r="Q35" s="20">
        <f>SUM($L$35:$P$35)</f>
        <v>0</v>
      </c>
      <c r="R35" s="20">
        <f>'TR TE'!$R$35*'TR TE'!$R$48</f>
        <v>124.8702548109523</v>
      </c>
      <c r="S35" s="20">
        <f>SUM($R$35:$R$35)</f>
        <v>124.8702548109523</v>
      </c>
      <c r="T35" s="20">
        <f>'TR TE'!$T$35*'TR TE'!$T$48</f>
        <v>0</v>
      </c>
      <c r="U35" s="20">
        <f>'TR TE'!$U$35*'TR TE'!$U$48</f>
        <v>0</v>
      </c>
      <c r="V35" s="20">
        <f>'TR TE'!$V$35*'TR TE'!$V$48</f>
        <v>0</v>
      </c>
      <c r="W35" s="20">
        <f>SUM($T$35:$V$35)</f>
        <v>0</v>
      </c>
      <c r="X35" s="20"/>
      <c r="Y35" s="20">
        <f>SUM($X$35:$X$35)</f>
        <v>0</v>
      </c>
      <c r="Z35" s="20">
        <f>'TR TE'!$Z$35*'TR TE'!$Z$48</f>
        <v>0</v>
      </c>
      <c r="AA35" s="20">
        <f>SUM($Z$35:$Z$35)</f>
        <v>0</v>
      </c>
      <c r="AB35" s="20">
        <f>SUMIF($L$4:$AA$4,"SUBTOTAL",$L$35:$AA$35)</f>
        <v>124.8702548109523</v>
      </c>
    </row>
    <row r="36" spans="1:28" ht="11.25" customHeight="1" x14ac:dyDescent="0.3">
      <c r="A36" s="96"/>
      <c r="B36" s="96"/>
      <c r="C36" s="96"/>
      <c r="D36" s="96"/>
      <c r="E36" s="96"/>
      <c r="F36" s="96"/>
      <c r="G36" s="23" t="s">
        <v>81</v>
      </c>
      <c r="H36" s="23" t="s">
        <v>69</v>
      </c>
      <c r="I36" s="23">
        <f>'MERCADO TE'!$U$33</f>
        <v>2.1969999999999996</v>
      </c>
      <c r="J36" s="15"/>
      <c r="L36" s="20">
        <f>'TR TE'!$L$36*'TR TE'!$L$48</f>
        <v>0</v>
      </c>
      <c r="M36" s="20">
        <f>'TR TE'!$M$36*'TR TE'!$M$48</f>
        <v>0</v>
      </c>
      <c r="N36" s="20">
        <f>'TR TE'!$N$36*'TR TE'!$N$48</f>
        <v>0</v>
      </c>
      <c r="O36" s="20">
        <f>'TR TE'!$O$36*'TR TE'!$O$48</f>
        <v>0</v>
      </c>
      <c r="P36" s="20">
        <f>'TR TE'!$P$36*'TR TE'!$P$48</f>
        <v>0</v>
      </c>
      <c r="Q36" s="20">
        <f>SUM($L$36:$P$36)</f>
        <v>0</v>
      </c>
      <c r="R36" s="20">
        <f>'TR TE'!$R$36*'TR TE'!$R$48</f>
        <v>124.8702548109523</v>
      </c>
      <c r="S36" s="20">
        <f>SUM($R$36:$R$36)</f>
        <v>124.8702548109523</v>
      </c>
      <c r="T36" s="20">
        <f>'TR TE'!$T$36*'TR TE'!$T$48</f>
        <v>0</v>
      </c>
      <c r="U36" s="20">
        <f>'TR TE'!$U$36*'TR TE'!$U$48</f>
        <v>0</v>
      </c>
      <c r="V36" s="20">
        <f>'TR TE'!$V$36*'TR TE'!$V$48</f>
        <v>0</v>
      </c>
      <c r="W36" s="20">
        <f>SUM($T$36:$V$36)</f>
        <v>0</v>
      </c>
      <c r="X36" s="20"/>
      <c r="Y36" s="20">
        <f>SUM($X$36:$X$36)</f>
        <v>0</v>
      </c>
      <c r="Z36" s="20">
        <f>'TR TE'!$Z$36*'TR TE'!$Z$48</f>
        <v>0</v>
      </c>
      <c r="AA36" s="20">
        <f>SUM($Z$36:$Z$36)</f>
        <v>0</v>
      </c>
      <c r="AB36" s="20">
        <f>SUMIF($L$4:$AA$4,"SUBTOTAL",$L$36:$AA$36)</f>
        <v>124.8702548109523</v>
      </c>
    </row>
    <row r="37" spans="1:28" ht="11.25" customHeight="1" x14ac:dyDescent="0.3">
      <c r="A37" s="96"/>
      <c r="B37" s="96"/>
      <c r="C37" s="96"/>
      <c r="D37" s="96"/>
      <c r="E37" s="96"/>
      <c r="F37" s="96"/>
      <c r="G37" s="23" t="s">
        <v>71</v>
      </c>
      <c r="H37" s="23" t="s">
        <v>69</v>
      </c>
      <c r="I37" s="23">
        <f>'MERCADO TE'!$U$34</f>
        <v>373.07</v>
      </c>
      <c r="J37" s="15"/>
      <c r="L37" s="20">
        <f>'TR TE'!$L$37*'TR TE'!$L$48</f>
        <v>0</v>
      </c>
      <c r="M37" s="20">
        <f>'TR TE'!$M$37*'TR TE'!$M$48</f>
        <v>0</v>
      </c>
      <c r="N37" s="20">
        <f>'TR TE'!$N$37*'TR TE'!$N$48</f>
        <v>0</v>
      </c>
      <c r="O37" s="20">
        <f>'TR TE'!$O$37*'TR TE'!$O$48</f>
        <v>0</v>
      </c>
      <c r="P37" s="20">
        <f>'TR TE'!$P$37*'TR TE'!$P$48</f>
        <v>0</v>
      </c>
      <c r="Q37" s="20">
        <f>SUM($L$37:$P$37)</f>
        <v>0</v>
      </c>
      <c r="R37" s="20">
        <f>'TR TE'!$R$37*'TR TE'!$R$48</f>
        <v>124.8702548109523</v>
      </c>
      <c r="S37" s="20">
        <f>SUM($R$37:$R$37)</f>
        <v>124.8702548109523</v>
      </c>
      <c r="T37" s="20">
        <f>'TR TE'!$T$37*'TR TE'!$T$48</f>
        <v>0</v>
      </c>
      <c r="U37" s="20">
        <f>'TR TE'!$U$37*'TR TE'!$U$48</f>
        <v>0</v>
      </c>
      <c r="V37" s="20">
        <f>'TR TE'!$V$37*'TR TE'!$V$48</f>
        <v>0</v>
      </c>
      <c r="W37" s="20">
        <f>SUM($T$37:$V$37)</f>
        <v>0</v>
      </c>
      <c r="X37" s="20"/>
      <c r="Y37" s="20">
        <f>SUM($X$37:$X$37)</f>
        <v>0</v>
      </c>
      <c r="Z37" s="20">
        <f>'TR TE'!$Z$37*'TR TE'!$Z$48</f>
        <v>0</v>
      </c>
      <c r="AA37" s="20">
        <f>SUM($Z$37:$Z$37)</f>
        <v>0</v>
      </c>
      <c r="AB37" s="20">
        <f>SUMIF($L$4:$AA$4,"SUBTOTAL",$L$37:$AA$37)</f>
        <v>124.8702548109523</v>
      </c>
    </row>
    <row r="38" spans="1:28" ht="11.25" customHeight="1" x14ac:dyDescent="0.3">
      <c r="A38" s="96"/>
      <c r="B38" s="22" t="s">
        <v>82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75</v>
      </c>
      <c r="H38" s="23" t="s">
        <v>69</v>
      </c>
      <c r="I38" s="23">
        <f>'MERCADO TE'!$U$35</f>
        <v>3199.5530000000003</v>
      </c>
      <c r="J38" s="15"/>
      <c r="L38" s="20">
        <f>'TR TE'!$L$38*'TR TE'!$L$48</f>
        <v>0</v>
      </c>
      <c r="M38" s="20">
        <f>'TR TE'!$M$38*'TR TE'!$M$48</f>
        <v>0</v>
      </c>
      <c r="N38" s="20">
        <f>'TR TE'!$N$38*'TR TE'!$N$48</f>
        <v>0</v>
      </c>
      <c r="O38" s="20">
        <f>'TR TE'!$O$38*'TR TE'!$O$48</f>
        <v>0</v>
      </c>
      <c r="P38" s="20">
        <f>'TR TE'!$P$38*'TR TE'!$P$48</f>
        <v>0</v>
      </c>
      <c r="Q38" s="20">
        <f>SUM($L$38:$P$38)</f>
        <v>0</v>
      </c>
      <c r="R38" s="20">
        <f>'TR TE'!$R$38*'TR TE'!$R$48</f>
        <v>124.8702548109523</v>
      </c>
      <c r="S38" s="20">
        <f>SUM($R$38:$R$38)</f>
        <v>124.8702548109523</v>
      </c>
      <c r="T38" s="20">
        <f>'TR TE'!$T$38*'TR TE'!$T$48</f>
        <v>0</v>
      </c>
      <c r="U38" s="20">
        <f>'TR TE'!$U$38*'TR TE'!$U$48</f>
        <v>0</v>
      </c>
      <c r="V38" s="20">
        <f>'TR TE'!$V$38*'TR TE'!$V$48</f>
        <v>0</v>
      </c>
      <c r="W38" s="20">
        <f>SUM($T$38:$V$38)</f>
        <v>0</v>
      </c>
      <c r="X38" s="20"/>
      <c r="Y38" s="20">
        <f>SUM($X$38:$X$38)</f>
        <v>0</v>
      </c>
      <c r="Z38" s="20">
        <f>'TR TE'!$Z$38*'TR TE'!$Z$48</f>
        <v>0</v>
      </c>
      <c r="AA38" s="20">
        <f>SUM($Z$38:$Z$38)</f>
        <v>0</v>
      </c>
      <c r="AB38" s="20">
        <f>SUMIF($L$4:$AA$4,"SUBTOTAL",$L$38:$AA$38)</f>
        <v>124.8702548109523</v>
      </c>
    </row>
    <row r="39" spans="1:28" ht="11.25" customHeight="1" x14ac:dyDescent="0.3">
      <c r="A39" s="96"/>
      <c r="B39" s="22" t="s">
        <v>83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75</v>
      </c>
      <c r="H39" s="23" t="s">
        <v>69</v>
      </c>
      <c r="I39" s="23">
        <f>'MERCADO TE'!$U$36</f>
        <v>0</v>
      </c>
      <c r="J39" s="15"/>
      <c r="L39" s="20">
        <f>'TR TE'!$L$39*'TR TE'!$L$48</f>
        <v>0</v>
      </c>
      <c r="M39" s="20">
        <f>'TR TE'!$M$39*'TR TE'!$M$48</f>
        <v>0</v>
      </c>
      <c r="N39" s="20">
        <f>'TR TE'!$N$39*'TR TE'!$N$48</f>
        <v>0</v>
      </c>
      <c r="O39" s="20">
        <f>'TR TE'!$O$39*'TR TE'!$O$48</f>
        <v>0</v>
      </c>
      <c r="P39" s="20">
        <f>'TR TE'!$P$39*'TR TE'!$P$48</f>
        <v>0</v>
      </c>
      <c r="Q39" s="20">
        <f>SUM($L$39:$P$39)</f>
        <v>0</v>
      </c>
      <c r="R39" s="20">
        <f>'TR TE'!$R$39*'TR TE'!$R$48</f>
        <v>124.8702548109523</v>
      </c>
      <c r="S39" s="20">
        <f>SUM($R$39:$R$39)</f>
        <v>124.8702548109523</v>
      </c>
      <c r="T39" s="20">
        <f>'TR TE'!$T$39*'TR TE'!$T$48</f>
        <v>0</v>
      </c>
      <c r="U39" s="20">
        <f>'TR TE'!$U$39*'TR TE'!$U$48</f>
        <v>0</v>
      </c>
      <c r="V39" s="20">
        <f>'TR TE'!$V$39*'TR TE'!$V$48</f>
        <v>0</v>
      </c>
      <c r="W39" s="20">
        <f>SUM($T$39:$V$39)</f>
        <v>0</v>
      </c>
      <c r="X39" s="20"/>
      <c r="Y39" s="20">
        <f>SUM($X$39:$X$39)</f>
        <v>0</v>
      </c>
      <c r="Z39" s="20">
        <f>'TR TE'!$Z$39*'TR TE'!$Z$48</f>
        <v>0</v>
      </c>
      <c r="AA39" s="20">
        <f>SUM($Z$39:$Z$39)</f>
        <v>0</v>
      </c>
      <c r="AB39" s="20">
        <f>SUMIF($L$4:$AA$4,"SUBTOTAL",$L$39:$AA$39)</f>
        <v>124.8702548109523</v>
      </c>
    </row>
    <row r="40" spans="1:28" ht="11.25" customHeight="1" x14ac:dyDescent="0.3">
      <c r="A40" s="96" t="s">
        <v>45</v>
      </c>
      <c r="B40" s="96" t="s">
        <v>82</v>
      </c>
      <c r="C40" s="96" t="s">
        <v>46</v>
      </c>
      <c r="D40" s="22" t="s">
        <v>47</v>
      </c>
      <c r="E40" s="22" t="s">
        <v>25</v>
      </c>
      <c r="F40" s="22" t="s">
        <v>25</v>
      </c>
      <c r="G40" s="23" t="s">
        <v>75</v>
      </c>
      <c r="H40" s="23" t="s">
        <v>69</v>
      </c>
      <c r="I40" s="23">
        <f>'MERCADO TE'!$U$37</f>
        <v>1010.7439999999999</v>
      </c>
      <c r="J40" s="15"/>
      <c r="L40" s="20">
        <f>'TR TE'!$L$40*'TR TE'!$L$48</f>
        <v>0</v>
      </c>
      <c r="M40" s="20">
        <f>'TR TE'!$M$40*'TR TE'!$M$48</f>
        <v>0</v>
      </c>
      <c r="N40" s="20">
        <f>'TR TE'!$N$40*'TR TE'!$N$48</f>
        <v>0</v>
      </c>
      <c r="O40" s="20">
        <f>'TR TE'!$O$40*'TR TE'!$O$48</f>
        <v>0</v>
      </c>
      <c r="P40" s="20">
        <f>'TR TE'!$P$40*'TR TE'!$P$48</f>
        <v>0</v>
      </c>
      <c r="Q40" s="20">
        <f>SUM($L$40:$P$40)</f>
        <v>0</v>
      </c>
      <c r="R40" s="20">
        <f>'TR TE'!$R$40*'TR TE'!$R$48</f>
        <v>68.678640146023767</v>
      </c>
      <c r="S40" s="20">
        <f>SUM($R$40:$R$40)</f>
        <v>68.678640146023767</v>
      </c>
      <c r="T40" s="20">
        <f>'TR TE'!$T$40*'TR TE'!$T$48</f>
        <v>0</v>
      </c>
      <c r="U40" s="20">
        <f>'TR TE'!$U$40*'TR TE'!$U$48</f>
        <v>0</v>
      </c>
      <c r="V40" s="20">
        <f>'TR TE'!$V$40*'TR TE'!$V$48</f>
        <v>0</v>
      </c>
      <c r="W40" s="20">
        <f>SUM($T$40:$V$40)</f>
        <v>0</v>
      </c>
      <c r="X40" s="20"/>
      <c r="Y40" s="20">
        <f>SUM($X$40:$X$40)</f>
        <v>0</v>
      </c>
      <c r="Z40" s="20">
        <f>'TR TE'!$Z$40*'TR TE'!$Z$48</f>
        <v>0</v>
      </c>
      <c r="AA40" s="20">
        <f>SUM($Z$40:$Z$40)</f>
        <v>0</v>
      </c>
      <c r="AB40" s="20">
        <f>SUMIF($L$4:$AA$4,"SUBTOTAL",$L$40:$AA$40)</f>
        <v>68.678640146023767</v>
      </c>
    </row>
    <row r="41" spans="1:28" ht="11.25" customHeight="1" x14ac:dyDescent="0.3">
      <c r="A41" s="96"/>
      <c r="B41" s="96"/>
      <c r="C41" s="96"/>
      <c r="D41" s="23" t="s">
        <v>87</v>
      </c>
      <c r="E41" s="23" t="s">
        <v>25</v>
      </c>
      <c r="F41" s="23" t="s">
        <v>25</v>
      </c>
      <c r="G41" s="23" t="s">
        <v>75</v>
      </c>
      <c r="H41" s="23" t="s">
        <v>69</v>
      </c>
      <c r="I41" s="23">
        <f>'MERCADO TE'!$U$38</f>
        <v>0</v>
      </c>
      <c r="J41" s="15"/>
      <c r="L41" s="20">
        <f>'TR TE'!$L$41*'TR TE'!$L$48</f>
        <v>0</v>
      </c>
      <c r="M41" s="20">
        <f>'TR TE'!$M$41*'TR TE'!$M$48</f>
        <v>0</v>
      </c>
      <c r="N41" s="20">
        <f>'TR TE'!$N$41*'TR TE'!$N$48</f>
        <v>0</v>
      </c>
      <c r="O41" s="20">
        <f>'TR TE'!$O$41*'TR TE'!$O$48</f>
        <v>0</v>
      </c>
      <c r="P41" s="20">
        <f>'TR TE'!$P$41*'TR TE'!$P$48</f>
        <v>0</v>
      </c>
      <c r="Q41" s="20">
        <f>SUM($L$41:$P$41)</f>
        <v>0</v>
      </c>
      <c r="R41" s="20">
        <f>'TR TE'!$R$41*'TR TE'!$R$48</f>
        <v>74.922152886571382</v>
      </c>
      <c r="S41" s="20">
        <f>SUM($R$41:$R$41)</f>
        <v>74.922152886571382</v>
      </c>
      <c r="T41" s="20">
        <f>'TR TE'!$T$41*'TR TE'!$T$48</f>
        <v>0</v>
      </c>
      <c r="U41" s="20">
        <f>'TR TE'!$U$41*'TR TE'!$U$48</f>
        <v>0</v>
      </c>
      <c r="V41" s="20">
        <f>'TR TE'!$V$41*'TR TE'!$V$48</f>
        <v>0</v>
      </c>
      <c r="W41" s="20">
        <f>SUM($T$41:$V$41)</f>
        <v>0</v>
      </c>
      <c r="X41" s="20"/>
      <c r="Y41" s="20">
        <f>SUM($X$41:$X$41)</f>
        <v>0</v>
      </c>
      <c r="Z41" s="20">
        <f>'TR TE'!$Z$41*'TR TE'!$Z$48</f>
        <v>0</v>
      </c>
      <c r="AA41" s="20">
        <f>SUM($Z$41:$Z$41)</f>
        <v>0</v>
      </c>
      <c r="AB41" s="20">
        <f>SUMIF($L$4:$AA$4,"SUBTOTAL",$L$41:$AA$41)</f>
        <v>74.922152886571382</v>
      </c>
    </row>
    <row r="43" spans="1:28" ht="11.25" customHeight="1" x14ac:dyDescent="0.3">
      <c r="K43" s="25" t="s">
        <v>546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5539840.7838546177</v>
      </c>
      <c r="S43" s="20">
        <f t="shared" si="0"/>
        <v>5539840.7838546177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5539840.7838546177</v>
      </c>
    </row>
    <row r="44" spans="1:28" ht="11.25" customHeight="1" x14ac:dyDescent="0.3">
      <c r="K44" s="25" t="s">
        <v>465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5539840.7838546168</v>
      </c>
      <c r="S44" s="20">
        <f>CUSTOS!$D$37</f>
        <v>5539840.7838546168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5539840.7838546168</v>
      </c>
    </row>
    <row r="45" spans="1:28" ht="11.25" customHeight="1" x14ac:dyDescent="0.3">
      <c r="K45" s="25" t="s">
        <v>466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-101323.58544931212</v>
      </c>
      <c r="S45" s="20">
        <f>CUSTOS!$E$37</f>
        <v>-101323.58544931212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-101323.58544931212</v>
      </c>
    </row>
    <row r="46" spans="1:28" ht="11.25" customHeight="1" x14ac:dyDescent="0.3">
      <c r="K46" s="25" t="s">
        <v>467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3">
      <c r="K47" s="25" t="s">
        <v>547</v>
      </c>
      <c r="L47" s="20">
        <f>'TR TE'!$L$47*L48</f>
        <v>0</v>
      </c>
      <c r="M47" s="20">
        <f>'TR TE'!$M$47*M48</f>
        <v>0</v>
      </c>
      <c r="N47" s="20">
        <f>'TR TE'!$N$47*N48</f>
        <v>0</v>
      </c>
      <c r="O47" s="20">
        <f>'TR TE'!$O$47*O48</f>
        <v>0</v>
      </c>
      <c r="P47" s="20">
        <f>'TR TE'!$P$47*P48</f>
        <v>0</v>
      </c>
      <c r="Q47" s="20"/>
      <c r="R47" s="20">
        <f>'TR TE'!$R$47*R48</f>
        <v>-2.2957245627597302</v>
      </c>
      <c r="S47" s="20"/>
      <c r="T47" s="20">
        <f>'TR TE'!$T$47*T48</f>
        <v>0</v>
      </c>
      <c r="U47" s="20">
        <f>'TR TE'!$U$47*U48</f>
        <v>0</v>
      </c>
      <c r="V47" s="20">
        <f>'TR TE'!$V$47*V48</f>
        <v>0</v>
      </c>
      <c r="W47" s="20"/>
      <c r="X47" s="20"/>
      <c r="Y47" s="20"/>
      <c r="Z47" s="20">
        <f>'TR TE'!$Z$47*Z48</f>
        <v>0</v>
      </c>
      <c r="AA47" s="20"/>
      <c r="AB47" s="20"/>
    </row>
    <row r="48" spans="1:28" ht="11.25" customHeight="1" x14ac:dyDescent="0.3">
      <c r="K48" s="25" t="s">
        <v>534</v>
      </c>
      <c r="L48" s="20">
        <f>IF(L44&lt;&gt;0,L45/L44,0)</f>
        <v>0</v>
      </c>
      <c r="M48" s="20">
        <f>IF(M44&lt;&gt;0,M45/M44,0)</f>
        <v>0</v>
      </c>
      <c r="N48" s="20">
        <f>IF(N44&lt;&gt;0,N45/N44,0)</f>
        <v>0</v>
      </c>
      <c r="O48" s="20">
        <f>IF(O44&lt;&gt;0,O45/O44,0)</f>
        <v>0</v>
      </c>
      <c r="P48" s="20">
        <f>IF(P44&lt;&gt;0,P45/P44,0)</f>
        <v>0</v>
      </c>
      <c r="Q48" s="20"/>
      <c r="R48" s="20">
        <f>IF(R44&lt;&gt;0,R45/R44,0)</f>
        <v>-1.8289981499939652E-2</v>
      </c>
      <c r="S48" s="20"/>
      <c r="T48" s="20">
        <f>IF(T44&lt;&gt;0,T45/T44,0)</f>
        <v>0</v>
      </c>
      <c r="U48" s="20">
        <f>IF(U44&lt;&gt;0,U45/U44,0)</f>
        <v>0</v>
      </c>
      <c r="V48" s="20">
        <f>IF(V44&lt;&gt;0,V45/V44,0)</f>
        <v>0</v>
      </c>
      <c r="W48" s="20"/>
      <c r="X48" s="20">
        <f>IF(($AB44-0)&lt;&gt;0,X45/($AB44-0),0)</f>
        <v>0</v>
      </c>
      <c r="Y48" s="20"/>
      <c r="Z48" s="20">
        <f>IF(Z44&lt;&gt;0,Z45/Z44,0)</f>
        <v>0</v>
      </c>
      <c r="AA48" s="20"/>
      <c r="AB48" s="20"/>
    </row>
    <row r="49" spans="11:28" ht="11.25" customHeight="1" x14ac:dyDescent="0.3">
      <c r="K49" s="25" t="s">
        <v>549</v>
      </c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</sheetData>
  <mergeCells count="61">
    <mergeCell ref="T3:W3"/>
    <mergeCell ref="X3:Y3"/>
    <mergeCell ref="A1:A4"/>
    <mergeCell ref="B1:B4"/>
    <mergeCell ref="C1:C4"/>
    <mergeCell ref="D1:D4"/>
    <mergeCell ref="E1:E4"/>
    <mergeCell ref="F1:F4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F7:F9"/>
    <mergeCell ref="B10:B14"/>
    <mergeCell ref="C10:C14"/>
    <mergeCell ref="B15:B19"/>
    <mergeCell ref="C15:C19"/>
    <mergeCell ref="A7:A19"/>
    <mergeCell ref="B7:B9"/>
    <mergeCell ref="C7:C9"/>
    <mergeCell ref="D7:D9"/>
    <mergeCell ref="E7:E9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E35:E37"/>
    <mergeCell ref="F35:F37"/>
    <mergeCell ref="A40:A41"/>
    <mergeCell ref="B40:B41"/>
    <mergeCell ref="C40:C41"/>
    <mergeCell ref="D35:D37"/>
  </mergeCells>
  <conditionalFormatting sqref="L43">
    <cfRule type="cellIs" dxfId="690" priority="33" operator="notEqual">
      <formula>$L$44</formula>
    </cfRule>
    <cfRule type="cellIs" dxfId="689" priority="34" operator="equal">
      <formula>$L$44</formula>
    </cfRule>
  </conditionalFormatting>
  <conditionalFormatting sqref="M43">
    <cfRule type="cellIs" dxfId="688" priority="31" operator="notEqual">
      <formula>$M$44</formula>
    </cfRule>
    <cfRule type="cellIs" dxfId="687" priority="32" operator="equal">
      <formula>$M$44</formula>
    </cfRule>
  </conditionalFormatting>
  <conditionalFormatting sqref="N43">
    <cfRule type="cellIs" dxfId="686" priority="29" operator="notEqual">
      <formula>$N$44</formula>
    </cfRule>
    <cfRule type="cellIs" dxfId="685" priority="30" operator="equal">
      <formula>$N$44</formula>
    </cfRule>
  </conditionalFormatting>
  <conditionalFormatting sqref="O43">
    <cfRule type="cellIs" dxfId="684" priority="27" operator="notEqual">
      <formula>$O$44</formula>
    </cfRule>
    <cfRule type="cellIs" dxfId="683" priority="28" operator="equal">
      <formula>$O$44</formula>
    </cfRule>
  </conditionalFormatting>
  <conditionalFormatting sqref="P43">
    <cfRule type="cellIs" dxfId="682" priority="25" operator="notEqual">
      <formula>$P$44</formula>
    </cfRule>
    <cfRule type="cellIs" dxfId="681" priority="26" operator="equal">
      <formula>$P$44</formula>
    </cfRule>
  </conditionalFormatting>
  <conditionalFormatting sqref="Q43">
    <cfRule type="cellIs" dxfId="680" priority="23" operator="notEqual">
      <formula>$Q$44</formula>
    </cfRule>
    <cfRule type="cellIs" dxfId="679" priority="24" operator="equal">
      <formula>$Q$44</formula>
    </cfRule>
  </conditionalFormatting>
  <conditionalFormatting sqref="R43">
    <cfRule type="cellIs" dxfId="678" priority="21" operator="notEqual">
      <formula>$R$44</formula>
    </cfRule>
    <cfRule type="cellIs" dxfId="677" priority="22" operator="equal">
      <formula>$R$44</formula>
    </cfRule>
  </conditionalFormatting>
  <conditionalFormatting sqref="S43">
    <cfRule type="cellIs" dxfId="676" priority="19" operator="notEqual">
      <formula>$S$44</formula>
    </cfRule>
    <cfRule type="cellIs" dxfId="675" priority="20" operator="equal">
      <formula>$S$44</formula>
    </cfRule>
  </conditionalFormatting>
  <conditionalFormatting sqref="T43">
    <cfRule type="cellIs" dxfId="674" priority="17" operator="notEqual">
      <formula>$T$44</formula>
    </cfRule>
    <cfRule type="cellIs" dxfId="673" priority="18" operator="equal">
      <formula>$T$44</formula>
    </cfRule>
  </conditionalFormatting>
  <conditionalFormatting sqref="U43">
    <cfRule type="cellIs" dxfId="672" priority="15" operator="notEqual">
      <formula>$U$44</formula>
    </cfRule>
    <cfRule type="cellIs" dxfId="671" priority="16" operator="equal">
      <formula>$U$44</formula>
    </cfRule>
  </conditionalFormatting>
  <conditionalFormatting sqref="V43">
    <cfRule type="cellIs" dxfId="670" priority="13" operator="notEqual">
      <formula>$V$44</formula>
    </cfRule>
    <cfRule type="cellIs" dxfId="669" priority="14" operator="equal">
      <formula>$V$44</formula>
    </cfRule>
  </conditionalFormatting>
  <conditionalFormatting sqref="W43">
    <cfRule type="cellIs" dxfId="668" priority="11" operator="notEqual">
      <formula>$W$44</formula>
    </cfRule>
    <cfRule type="cellIs" dxfId="667" priority="12" operator="equal">
      <formula>$W$44</formula>
    </cfRule>
  </conditionalFormatting>
  <conditionalFormatting sqref="X43">
    <cfRule type="cellIs" dxfId="666" priority="9" operator="notEqual">
      <formula>$X$44</formula>
    </cfRule>
    <cfRule type="cellIs" dxfId="665" priority="10" operator="equal">
      <formula>$X$44</formula>
    </cfRule>
  </conditionalFormatting>
  <conditionalFormatting sqref="Y43">
    <cfRule type="cellIs" dxfId="664" priority="7" operator="notEqual">
      <formula>$Y$44</formula>
    </cfRule>
    <cfRule type="cellIs" dxfId="663" priority="8" operator="equal">
      <formula>$Y$44</formula>
    </cfRule>
  </conditionalFormatting>
  <conditionalFormatting sqref="Z43">
    <cfRule type="cellIs" dxfId="662" priority="5" operator="notEqual">
      <formula>$Z$44</formula>
    </cfRule>
    <cfRule type="cellIs" dxfId="661" priority="6" operator="equal">
      <formula>$Z$44</formula>
    </cfRule>
  </conditionalFormatting>
  <conditionalFormatting sqref="AA43">
    <cfRule type="cellIs" dxfId="660" priority="3" operator="notEqual">
      <formula>$AA$44</formula>
    </cfRule>
    <cfRule type="cellIs" dxfId="659" priority="4" operator="equal">
      <formula>$AA$44</formula>
    </cfRule>
  </conditionalFormatting>
  <conditionalFormatting sqref="AB43">
    <cfRule type="cellIs" dxfId="658" priority="1" operator="notEqual">
      <formula>$AB$44</formula>
    </cfRule>
    <cfRule type="cellIs" dxfId="657" priority="2" operator="equal">
      <formula>$AB$44</formula>
    </cfRule>
  </conditionalFormatting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DFDF-9ED1-41D3-8FC8-846509B74E7C}">
  <sheetPr codeName="Planilha14"/>
  <dimension ref="A1:AB49"/>
  <sheetViews>
    <sheetView showGridLines="0" topLeftCell="I25" workbookViewId="0">
      <selection activeCell="AB43" sqref="AB43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20" style="9" bestFit="1" customWidth="1"/>
    <col min="12" max="14" width="7.88671875" style="9" bestFit="1" customWidth="1"/>
    <col min="15" max="15" width="11.109375" style="9" bestFit="1" customWidth="1"/>
    <col min="16" max="16" width="8.109375" style="9" bestFit="1" customWidth="1"/>
    <col min="17" max="17" width="9.33203125" style="9" bestFit="1" customWidth="1"/>
    <col min="18" max="18" width="15" style="9" bestFit="1" customWidth="1"/>
    <col min="19" max="19" width="10" style="9" bestFit="1" customWidth="1"/>
    <col min="20" max="20" width="7.88671875" style="9" bestFit="1" customWidth="1"/>
    <col min="21" max="21" width="10.44140625" style="9" bestFit="1" customWidth="1"/>
    <col min="22" max="22" width="7.88671875" style="9" bestFit="1" customWidth="1"/>
    <col min="23" max="23" width="9.33203125" style="9" bestFit="1" customWidth="1"/>
    <col min="24" max="24" width="8" style="9" bestFit="1" customWidth="1"/>
    <col min="25" max="25" width="9.33203125" style="9" bestFit="1" customWidth="1"/>
    <col min="26" max="26" width="11" style="9" bestFit="1" customWidth="1"/>
    <col min="27" max="27" width="9.33203125" style="9" bestFit="1" customWidth="1"/>
    <col min="28" max="28" width="10" style="9" bestFit="1" customWidth="1"/>
    <col min="29" max="16384" width="9.109375" style="9"/>
  </cols>
  <sheetData>
    <row r="1" spans="1:28" ht="11.25" customHeight="1" x14ac:dyDescent="0.3">
      <c r="A1" s="97" t="s">
        <v>59</v>
      </c>
      <c r="B1" s="97" t="s">
        <v>60</v>
      </c>
      <c r="C1" s="97" t="s">
        <v>61</v>
      </c>
      <c r="D1" s="97" t="s">
        <v>62</v>
      </c>
      <c r="E1" s="97" t="s">
        <v>63</v>
      </c>
      <c r="F1" s="97" t="s">
        <v>15</v>
      </c>
      <c r="G1" s="97" t="s">
        <v>65</v>
      </c>
      <c r="H1" s="97" t="s">
        <v>66</v>
      </c>
      <c r="I1" s="97" t="s">
        <v>524</v>
      </c>
      <c r="J1" s="86"/>
      <c r="L1" s="98" t="s">
        <v>551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spans="1:28" ht="11.25" customHeight="1" x14ac:dyDescent="0.3">
      <c r="A2" s="97"/>
      <c r="B2" s="97"/>
      <c r="C2" s="97"/>
      <c r="D2" s="97"/>
      <c r="E2" s="97"/>
      <c r="F2" s="97"/>
      <c r="G2" s="97"/>
      <c r="H2" s="97"/>
      <c r="I2" s="97"/>
      <c r="J2" s="86"/>
      <c r="L2" s="98" t="s">
        <v>451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</row>
    <row r="3" spans="1:28" ht="11.25" customHeight="1" x14ac:dyDescent="0.3">
      <c r="A3" s="97"/>
      <c r="B3" s="97"/>
      <c r="C3" s="97"/>
      <c r="D3" s="97"/>
      <c r="E3" s="97"/>
      <c r="F3" s="97"/>
      <c r="G3" s="97"/>
      <c r="H3" s="97"/>
      <c r="I3" s="97"/>
      <c r="J3" s="86"/>
      <c r="L3" s="98" t="s">
        <v>424</v>
      </c>
      <c r="M3" s="98"/>
      <c r="N3" s="98"/>
      <c r="O3" s="98"/>
      <c r="P3" s="98"/>
      <c r="Q3" s="98"/>
      <c r="R3" s="98" t="s">
        <v>455</v>
      </c>
      <c r="S3" s="98"/>
      <c r="T3" s="98" t="s">
        <v>433</v>
      </c>
      <c r="U3" s="98"/>
      <c r="V3" s="98"/>
      <c r="W3" s="98"/>
      <c r="X3" s="98" t="s">
        <v>443</v>
      </c>
      <c r="Y3" s="98"/>
      <c r="Z3" s="98" t="s">
        <v>446</v>
      </c>
      <c r="AA3" s="98"/>
      <c r="AB3" s="98" t="s">
        <v>432</v>
      </c>
    </row>
    <row r="4" spans="1:28" ht="11.25" customHeight="1" x14ac:dyDescent="0.3">
      <c r="A4" s="97"/>
      <c r="B4" s="97"/>
      <c r="C4" s="97"/>
      <c r="D4" s="97"/>
      <c r="E4" s="97"/>
      <c r="F4" s="97"/>
      <c r="G4" s="97"/>
      <c r="H4" s="97"/>
      <c r="I4" s="97"/>
      <c r="J4" s="86"/>
      <c r="L4" s="24" t="s">
        <v>426</v>
      </c>
      <c r="M4" s="24" t="s">
        <v>452</v>
      </c>
      <c r="N4" s="24" t="s">
        <v>453</v>
      </c>
      <c r="O4" s="24" t="s">
        <v>512</v>
      </c>
      <c r="P4" s="24" t="s">
        <v>454</v>
      </c>
      <c r="Q4" s="24" t="s">
        <v>432</v>
      </c>
      <c r="R4" s="24" t="s">
        <v>456</v>
      </c>
      <c r="S4" s="24" t="s">
        <v>432</v>
      </c>
      <c r="T4" s="24" t="s">
        <v>457</v>
      </c>
      <c r="U4" s="24" t="s">
        <v>458</v>
      </c>
      <c r="V4" s="24" t="s">
        <v>459</v>
      </c>
      <c r="W4" s="24" t="s">
        <v>432</v>
      </c>
      <c r="X4" s="24" t="s">
        <v>444</v>
      </c>
      <c r="Y4" s="24" t="s">
        <v>432</v>
      </c>
      <c r="Z4" s="24" t="s">
        <v>460</v>
      </c>
      <c r="AA4" s="24" t="s">
        <v>432</v>
      </c>
      <c r="AB4" s="99"/>
    </row>
    <row r="5" spans="1:28" ht="11.25" customHeight="1" x14ac:dyDescent="0.3">
      <c r="A5" s="96" t="s">
        <v>35</v>
      </c>
      <c r="B5" s="96" t="s">
        <v>68</v>
      </c>
      <c r="C5" s="96" t="s">
        <v>25</v>
      </c>
      <c r="D5" s="96" t="s">
        <v>25</v>
      </c>
      <c r="E5" s="96" t="s">
        <v>25</v>
      </c>
      <c r="F5" s="96" t="s">
        <v>25</v>
      </c>
      <c r="G5" s="23" t="s">
        <v>70</v>
      </c>
      <c r="H5" s="23" t="s">
        <v>69</v>
      </c>
      <c r="I5" s="23">
        <f>'MERCADO TE'!$U$2</f>
        <v>1248.6389999999999</v>
      </c>
      <c r="J5" s="15"/>
      <c r="L5" s="20">
        <f>'TE BE'!$L$5*'TE BE'!$L$48</f>
        <v>0</v>
      </c>
      <c r="M5" s="20">
        <f>'TE BE'!$M$5*'TE BE'!$M$48</f>
        <v>0</v>
      </c>
      <c r="N5" s="20">
        <f>'TE BE'!$N$5*'TE BE'!$N$48</f>
        <v>0</v>
      </c>
      <c r="O5" s="20">
        <f>'TE BE'!$O$5*'TE BE'!$O$48</f>
        <v>0</v>
      </c>
      <c r="P5" s="20">
        <f>'TE BE'!$P$5*'TE BE'!$P$48</f>
        <v>0</v>
      </c>
      <c r="Q5" s="20">
        <f>SUM($L$5:$P$5)</f>
        <v>0</v>
      </c>
      <c r="R5" s="20">
        <f>'TE BE'!$R$5*'TE BE'!$R$48</f>
        <v>-2.283874650385068</v>
      </c>
      <c r="S5" s="20">
        <f>SUM($R$5:$R$5)</f>
        <v>-2.283874650385068</v>
      </c>
      <c r="T5" s="20">
        <f>'TE BE'!$T$5*'TE BE'!$T$48</f>
        <v>0</v>
      </c>
      <c r="U5" s="20">
        <f>'TE BE'!$U$5*'TE BE'!$U$48</f>
        <v>0</v>
      </c>
      <c r="V5" s="20">
        <f>'TE BE'!$V$5*'TE BE'!$V$48</f>
        <v>0</v>
      </c>
      <c r="W5" s="20">
        <f>SUM($T$5:$V$5)</f>
        <v>0</v>
      </c>
      <c r="X5" s="20">
        <f>'TE BE'!$AB$5*'TE BE'!$X$48</f>
        <v>0</v>
      </c>
      <c r="Y5" s="20">
        <f>SUM($X$5:$X$5)</f>
        <v>0</v>
      </c>
      <c r="Z5" s="20">
        <f>'TE BE'!$Z$5*'TE BE'!$Z$48</f>
        <v>0</v>
      </c>
      <c r="AA5" s="20">
        <f>SUM($Z$5:$Z$5)</f>
        <v>0</v>
      </c>
      <c r="AB5" s="20">
        <f>SUMIF($L$4:$AA$4,"SUBTOTAL",$L$5:$AA$5)</f>
        <v>-2.283874650385068</v>
      </c>
    </row>
    <row r="6" spans="1:28" ht="11.25" customHeight="1" x14ac:dyDescent="0.3">
      <c r="A6" s="96"/>
      <c r="B6" s="96"/>
      <c r="C6" s="96"/>
      <c r="D6" s="96"/>
      <c r="E6" s="96"/>
      <c r="F6" s="96"/>
      <c r="G6" s="23" t="s">
        <v>71</v>
      </c>
      <c r="H6" s="23" t="s">
        <v>69</v>
      </c>
      <c r="I6" s="23">
        <f>'MERCADO TE'!$U$3</f>
        <v>28654.205000000002</v>
      </c>
      <c r="J6" s="15"/>
      <c r="L6" s="20">
        <f>'TE BE'!$L$6*'TE BE'!$L$48</f>
        <v>0</v>
      </c>
      <c r="M6" s="20">
        <f>'TE BE'!$M$6*'TE BE'!$M$48</f>
        <v>0</v>
      </c>
      <c r="N6" s="20">
        <f>'TE BE'!$N$6*'TE BE'!$N$48</f>
        <v>0</v>
      </c>
      <c r="O6" s="20">
        <f>'TE BE'!$O$6*'TE BE'!$O$48</f>
        <v>0</v>
      </c>
      <c r="P6" s="20">
        <f>'TE BE'!$P$6*'TE BE'!$P$48</f>
        <v>0</v>
      </c>
      <c r="Q6" s="20">
        <f>SUM($L$6:$P$6)</f>
        <v>0</v>
      </c>
      <c r="R6" s="20">
        <f>'TE BE'!$R$6*'TE BE'!$R$48</f>
        <v>-2.283874650385068</v>
      </c>
      <c r="S6" s="20">
        <f>SUM($R$6:$R$6)</f>
        <v>-2.283874650385068</v>
      </c>
      <c r="T6" s="20">
        <f>'TE BE'!$T$6*'TE BE'!$T$48</f>
        <v>0</v>
      </c>
      <c r="U6" s="20">
        <f>'TE BE'!$U$6*'TE BE'!$U$48</f>
        <v>0</v>
      </c>
      <c r="V6" s="20">
        <f>'TE BE'!$V$6*'TE BE'!$V$48</f>
        <v>0</v>
      </c>
      <c r="W6" s="20">
        <f>SUM($T$6:$V$6)</f>
        <v>0</v>
      </c>
      <c r="X6" s="20">
        <f>'TE BE'!$AB$6*'TE BE'!$X$48</f>
        <v>0</v>
      </c>
      <c r="Y6" s="20">
        <f>SUM($X$6:$X$6)</f>
        <v>0</v>
      </c>
      <c r="Z6" s="20">
        <f>'TE BE'!$Z$6*'TE BE'!$Z$48</f>
        <v>0</v>
      </c>
      <c r="AA6" s="20">
        <f>SUM($Z$6:$Z$6)</f>
        <v>0</v>
      </c>
      <c r="AB6" s="20">
        <f>SUMIF($L$4:$AA$4,"SUBTOTAL",$L$6:$AA$6)</f>
        <v>-2.283874650385068</v>
      </c>
    </row>
    <row r="7" spans="1:28" ht="11.25" customHeight="1" x14ac:dyDescent="0.3">
      <c r="A7" s="96" t="s">
        <v>22</v>
      </c>
      <c r="B7" s="96" t="s">
        <v>68</v>
      </c>
      <c r="C7" s="96" t="s">
        <v>24</v>
      </c>
      <c r="D7" s="96" t="s">
        <v>24</v>
      </c>
      <c r="E7" s="96" t="s">
        <v>25</v>
      </c>
      <c r="F7" s="96" t="s">
        <v>25</v>
      </c>
      <c r="G7" s="23" t="s">
        <v>70</v>
      </c>
      <c r="H7" s="23" t="s">
        <v>69</v>
      </c>
      <c r="I7" s="23">
        <f>'MERCADO TE'!$U$4</f>
        <v>0</v>
      </c>
      <c r="J7" s="15"/>
      <c r="L7" s="20">
        <f>'TE BE'!$L$7*'TE BE'!$L$48</f>
        <v>0</v>
      </c>
      <c r="M7" s="20">
        <f>'TE BE'!$M$7*'TE BE'!$M$48</f>
        <v>0</v>
      </c>
      <c r="N7" s="20">
        <f>'TE BE'!$N$7*'TE BE'!$N$48</f>
        <v>0</v>
      </c>
      <c r="O7" s="20">
        <f>'TE BE'!$O$7*'TE BE'!$O$48</f>
        <v>0</v>
      </c>
      <c r="P7" s="20">
        <f>'TE BE'!$P$7*'TE BE'!$P$48</f>
        <v>0</v>
      </c>
      <c r="Q7" s="20">
        <f>SUM($L$7:$P$7)</f>
        <v>0</v>
      </c>
      <c r="R7" s="20">
        <f>'TE BE'!$R$7*'TE BE'!$R$48</f>
        <v>-2.283874650385068</v>
      </c>
      <c r="S7" s="20">
        <f>SUM($R$7:$R$7)</f>
        <v>-2.283874650385068</v>
      </c>
      <c r="T7" s="20">
        <f>'TE BE'!$T$7*'TE BE'!$T$48</f>
        <v>0</v>
      </c>
      <c r="U7" s="20">
        <f>'TE BE'!$U$7*'TE BE'!$U$48</f>
        <v>0</v>
      </c>
      <c r="V7" s="20">
        <f>'TE BE'!$V$7*'TE BE'!$V$48</f>
        <v>0</v>
      </c>
      <c r="W7" s="20">
        <f>SUM($T$7:$V$7)</f>
        <v>0</v>
      </c>
      <c r="X7" s="20">
        <f>'TE BE'!$AB$7*'TE BE'!$X$48</f>
        <v>0</v>
      </c>
      <c r="Y7" s="20">
        <f>SUM($X$7:$X$7)</f>
        <v>0</v>
      </c>
      <c r="Z7" s="20">
        <f>'TE BE'!$Z$7*'TE BE'!$Z$48</f>
        <v>0</v>
      </c>
      <c r="AA7" s="20">
        <f>SUM($Z$7:$Z$7)</f>
        <v>0</v>
      </c>
      <c r="AB7" s="20">
        <f>SUMIF($L$4:$AA$4,"SUBTOTAL",$L$7:$AA$7)</f>
        <v>-2.283874650385068</v>
      </c>
    </row>
    <row r="8" spans="1:28" ht="11.25" customHeight="1" x14ac:dyDescent="0.3">
      <c r="A8" s="96"/>
      <c r="B8" s="96"/>
      <c r="C8" s="96"/>
      <c r="D8" s="96"/>
      <c r="E8" s="96"/>
      <c r="F8" s="96"/>
      <c r="G8" s="23" t="s">
        <v>81</v>
      </c>
      <c r="H8" s="23" t="s">
        <v>69</v>
      </c>
      <c r="I8" s="23">
        <f>'MERCADO TE'!$U$5</f>
        <v>0</v>
      </c>
      <c r="J8" s="15"/>
      <c r="L8" s="20">
        <f>'TE BE'!$L$8*'TE BE'!$L$48</f>
        <v>0</v>
      </c>
      <c r="M8" s="20">
        <f>'TE BE'!$M$8*'TE BE'!$M$48</f>
        <v>0</v>
      </c>
      <c r="N8" s="20">
        <f>'TE BE'!$N$8*'TE BE'!$N$48</f>
        <v>0</v>
      </c>
      <c r="O8" s="20">
        <f>'TE BE'!$O$8*'TE BE'!$O$48</f>
        <v>0</v>
      </c>
      <c r="P8" s="20">
        <f>'TE BE'!$P$8*'TE BE'!$P$48</f>
        <v>0</v>
      </c>
      <c r="Q8" s="20">
        <f>SUM($L$8:$P$8)</f>
        <v>0</v>
      </c>
      <c r="R8" s="20">
        <f>'TE BE'!$R$8*'TE BE'!$R$48</f>
        <v>-2.283874650385068</v>
      </c>
      <c r="S8" s="20">
        <f>SUM($R$8:$R$8)</f>
        <v>-2.283874650385068</v>
      </c>
      <c r="T8" s="20">
        <f>'TE BE'!$T$8*'TE BE'!$T$48</f>
        <v>0</v>
      </c>
      <c r="U8" s="20">
        <f>'TE BE'!$U$8*'TE BE'!$U$48</f>
        <v>0</v>
      </c>
      <c r="V8" s="20">
        <f>'TE BE'!$V$8*'TE BE'!$V$48</f>
        <v>0</v>
      </c>
      <c r="W8" s="20">
        <f>SUM($T$8:$V$8)</f>
        <v>0</v>
      </c>
      <c r="X8" s="20">
        <f>'TE BE'!$AB$8*'TE BE'!$X$48</f>
        <v>0</v>
      </c>
      <c r="Y8" s="20">
        <f>SUM($X$8:$X$8)</f>
        <v>0</v>
      </c>
      <c r="Z8" s="20">
        <f>'TE BE'!$Z$8*'TE BE'!$Z$48</f>
        <v>0</v>
      </c>
      <c r="AA8" s="20">
        <f>SUM($Z$8:$Z$8)</f>
        <v>0</v>
      </c>
      <c r="AB8" s="20">
        <f>SUMIF($L$4:$AA$4,"SUBTOTAL",$L$8:$AA$8)</f>
        <v>-2.283874650385068</v>
      </c>
    </row>
    <row r="9" spans="1:28" ht="11.25" customHeight="1" x14ac:dyDescent="0.3">
      <c r="A9" s="96"/>
      <c r="B9" s="96"/>
      <c r="C9" s="96"/>
      <c r="D9" s="96"/>
      <c r="E9" s="96"/>
      <c r="F9" s="96"/>
      <c r="G9" s="23" t="s">
        <v>71</v>
      </c>
      <c r="H9" s="23" t="s">
        <v>69</v>
      </c>
      <c r="I9" s="23">
        <f>'MERCADO TE'!$U$6</f>
        <v>0</v>
      </c>
      <c r="J9" s="15"/>
      <c r="L9" s="20">
        <f>'TE BE'!$L$9*'TE BE'!$L$48</f>
        <v>0</v>
      </c>
      <c r="M9" s="20">
        <f>'TE BE'!$M$9*'TE BE'!$M$48</f>
        <v>0</v>
      </c>
      <c r="N9" s="20">
        <f>'TE BE'!$N$9*'TE BE'!$N$48</f>
        <v>0</v>
      </c>
      <c r="O9" s="20">
        <f>'TE BE'!$O$9*'TE BE'!$O$48</f>
        <v>0</v>
      </c>
      <c r="P9" s="20">
        <f>'TE BE'!$P$9*'TE BE'!$P$48</f>
        <v>0</v>
      </c>
      <c r="Q9" s="20">
        <f>SUM($L$9:$P$9)</f>
        <v>0</v>
      </c>
      <c r="R9" s="20">
        <f>'TE BE'!$R$9*'TE BE'!$R$48</f>
        <v>-2.283874650385068</v>
      </c>
      <c r="S9" s="20">
        <f>SUM($R$9:$R$9)</f>
        <v>-2.283874650385068</v>
      </c>
      <c r="T9" s="20">
        <f>'TE BE'!$T$9*'TE BE'!$T$48</f>
        <v>0</v>
      </c>
      <c r="U9" s="20">
        <f>'TE BE'!$U$9*'TE BE'!$U$48</f>
        <v>0</v>
      </c>
      <c r="V9" s="20">
        <f>'TE BE'!$V$9*'TE BE'!$V$48</f>
        <v>0</v>
      </c>
      <c r="W9" s="20">
        <f>SUM($T$9:$V$9)</f>
        <v>0</v>
      </c>
      <c r="X9" s="20">
        <f>'TE BE'!$AB$9*'TE BE'!$X$48</f>
        <v>0</v>
      </c>
      <c r="Y9" s="20">
        <f>SUM($X$9:$X$9)</f>
        <v>0</v>
      </c>
      <c r="Z9" s="20">
        <f>'TE BE'!$Z$9*'TE BE'!$Z$48</f>
        <v>0</v>
      </c>
      <c r="AA9" s="20">
        <f>SUM($Z$9:$Z$9)</f>
        <v>0</v>
      </c>
      <c r="AB9" s="20">
        <f>SUMIF($L$4:$AA$4,"SUBTOTAL",$L$9:$AA$9)</f>
        <v>-2.283874650385068</v>
      </c>
    </row>
    <row r="10" spans="1:28" ht="11.25" customHeight="1" x14ac:dyDescent="0.3">
      <c r="A10" s="96"/>
      <c r="B10" s="96" t="s">
        <v>82</v>
      </c>
      <c r="C10" s="96" t="s">
        <v>24</v>
      </c>
      <c r="D10" s="22" t="s">
        <v>24</v>
      </c>
      <c r="E10" s="22" t="s">
        <v>25</v>
      </c>
      <c r="F10" s="22" t="s">
        <v>25</v>
      </c>
      <c r="G10" s="23" t="s">
        <v>75</v>
      </c>
      <c r="H10" s="23" t="s">
        <v>69</v>
      </c>
      <c r="I10" s="23">
        <f>'MERCADO TE'!$U$7</f>
        <v>6626.2160000000003</v>
      </c>
      <c r="J10" s="15"/>
      <c r="L10" s="20">
        <f>'TE BE'!$L$10*'TE BE'!$L$48</f>
        <v>0</v>
      </c>
      <c r="M10" s="20">
        <f>'TE BE'!$M$10*'TE BE'!$M$48</f>
        <v>0</v>
      </c>
      <c r="N10" s="20">
        <f>'TE BE'!$N$10*'TE BE'!$N$48</f>
        <v>0</v>
      </c>
      <c r="O10" s="20">
        <f>'TE BE'!$O$10*'TE BE'!$O$48</f>
        <v>0</v>
      </c>
      <c r="P10" s="20">
        <f>'TE BE'!$P$10*'TE BE'!$P$48</f>
        <v>0</v>
      </c>
      <c r="Q10" s="20">
        <f>SUM($L$10:$P$10)</f>
        <v>0</v>
      </c>
      <c r="R10" s="20">
        <f>'TE BE'!$R$10*'TE BE'!$R$48</f>
        <v>-2.283874650385068</v>
      </c>
      <c r="S10" s="20">
        <f>SUM($R$10:$R$10)</f>
        <v>-2.283874650385068</v>
      </c>
      <c r="T10" s="20">
        <f>'TE BE'!$T$10*'TE BE'!$T$48</f>
        <v>0</v>
      </c>
      <c r="U10" s="20">
        <f>'TE BE'!$U$10*'TE BE'!$U$48</f>
        <v>0</v>
      </c>
      <c r="V10" s="20">
        <f>'TE BE'!$V$10*'TE BE'!$V$48</f>
        <v>0</v>
      </c>
      <c r="W10" s="20">
        <f>SUM($T$10:$V$10)</f>
        <v>0</v>
      </c>
      <c r="X10" s="20">
        <f>'TE BE'!$AB$10*'TE BE'!$X$48</f>
        <v>0</v>
      </c>
      <c r="Y10" s="20">
        <f>SUM($X$10:$X$10)</f>
        <v>0</v>
      </c>
      <c r="Z10" s="20">
        <f>'TE BE'!$Z$10*'TE BE'!$Z$48</f>
        <v>0</v>
      </c>
      <c r="AA10" s="20">
        <f>SUM($Z$10:$Z$10)</f>
        <v>0</v>
      </c>
      <c r="AB10" s="20">
        <f>SUMIF($L$4:$AA$4,"SUBTOTAL",$L$10:$AA$10)</f>
        <v>-2.283874650385068</v>
      </c>
    </row>
    <row r="11" spans="1:28" ht="11.25" customHeight="1" x14ac:dyDescent="0.3">
      <c r="A11" s="96"/>
      <c r="B11" s="96"/>
      <c r="C11" s="96"/>
      <c r="D11" s="22" t="s">
        <v>29</v>
      </c>
      <c r="E11" s="22" t="s">
        <v>25</v>
      </c>
      <c r="F11" s="22" t="s">
        <v>25</v>
      </c>
      <c r="G11" s="23" t="s">
        <v>75</v>
      </c>
      <c r="H11" s="23" t="s">
        <v>69</v>
      </c>
      <c r="I11" s="23">
        <f>'MERCADO TE'!$U$8</f>
        <v>56.819999999999993</v>
      </c>
      <c r="J11" s="15"/>
      <c r="L11" s="20">
        <f>'TE BE'!$L$11*'TE BE'!$L$48</f>
        <v>0</v>
      </c>
      <c r="M11" s="20">
        <f>'TE BE'!$M$11*'TE BE'!$M$48</f>
        <v>0</v>
      </c>
      <c r="N11" s="20">
        <f>'TE BE'!$N$11*'TE BE'!$N$48</f>
        <v>0</v>
      </c>
      <c r="O11" s="20">
        <f>'TE BE'!$O$11*'TE BE'!$O$48</f>
        <v>0</v>
      </c>
      <c r="P11" s="20">
        <f>'TE BE'!$P$11*'TE BE'!$P$48</f>
        <v>0</v>
      </c>
      <c r="Q11" s="20">
        <f>SUM($L$11:$P$11)</f>
        <v>0</v>
      </c>
      <c r="R11" s="20">
        <f>'TE BE'!$R$11*'TE BE'!$R$48</f>
        <v>-2.283874650385068</v>
      </c>
      <c r="S11" s="20">
        <f>SUM($R$11:$R$11)</f>
        <v>-2.283874650385068</v>
      </c>
      <c r="T11" s="20">
        <f>'TE BE'!$T$11*'TE BE'!$T$48</f>
        <v>0</v>
      </c>
      <c r="U11" s="20">
        <f>'TE BE'!$U$11*'TE BE'!$U$48</f>
        <v>0</v>
      </c>
      <c r="V11" s="20">
        <f>'TE BE'!$V$11*'TE BE'!$V$48</f>
        <v>0</v>
      </c>
      <c r="W11" s="20">
        <f>SUM($T$11:$V$11)</f>
        <v>0</v>
      </c>
      <c r="X11" s="20">
        <f>'TE BE'!$AB$11*'TE BE'!$X$48</f>
        <v>0</v>
      </c>
      <c r="Y11" s="20">
        <f>SUM($X$11:$X$11)</f>
        <v>0</v>
      </c>
      <c r="Z11" s="20">
        <f>'TE BE'!$Z$11*'TE BE'!$Z$48</f>
        <v>0</v>
      </c>
      <c r="AA11" s="20">
        <f>SUM($Z$11:$Z$11)</f>
        <v>0</v>
      </c>
      <c r="AB11" s="20">
        <f>SUMIF($L$4:$AA$4,"SUBTOTAL",$L$11:$AA$11)</f>
        <v>-2.283874650385068</v>
      </c>
    </row>
    <row r="12" spans="1:28" ht="11.25" customHeight="1" x14ac:dyDescent="0.3">
      <c r="A12" s="96"/>
      <c r="B12" s="96"/>
      <c r="C12" s="96"/>
      <c r="D12" s="22" t="s">
        <v>30</v>
      </c>
      <c r="E12" s="22" t="s">
        <v>25</v>
      </c>
      <c r="F12" s="22" t="s">
        <v>25</v>
      </c>
      <c r="G12" s="23" t="s">
        <v>75</v>
      </c>
      <c r="H12" s="23" t="s">
        <v>69</v>
      </c>
      <c r="I12" s="23">
        <f>'MERCADO TE'!$U$9</f>
        <v>114.55999999999999</v>
      </c>
      <c r="J12" s="15"/>
      <c r="L12" s="20">
        <f>'TE BE'!$L$12*'TE BE'!$L$48</f>
        <v>0</v>
      </c>
      <c r="M12" s="20">
        <f>'TE BE'!$M$12*'TE BE'!$M$48</f>
        <v>0</v>
      </c>
      <c r="N12" s="20">
        <f>'TE BE'!$N$12*'TE BE'!$N$48</f>
        <v>0</v>
      </c>
      <c r="O12" s="20">
        <f>'TE BE'!$O$12*'TE BE'!$O$48</f>
        <v>0</v>
      </c>
      <c r="P12" s="20">
        <f>'TE BE'!$P$12*'TE BE'!$P$48</f>
        <v>0</v>
      </c>
      <c r="Q12" s="20">
        <f>SUM($L$12:$P$12)</f>
        <v>0</v>
      </c>
      <c r="R12" s="20">
        <f>'TE BE'!$R$12*'TE BE'!$R$48</f>
        <v>-2.283874650385068</v>
      </c>
      <c r="S12" s="20">
        <f>SUM($R$12:$R$12)</f>
        <v>-2.283874650385068</v>
      </c>
      <c r="T12" s="20">
        <f>'TE BE'!$T$12*'TE BE'!$T$48</f>
        <v>0</v>
      </c>
      <c r="U12" s="20">
        <f>'TE BE'!$U$12*'TE BE'!$U$48</f>
        <v>0</v>
      </c>
      <c r="V12" s="20">
        <f>'TE BE'!$V$12*'TE BE'!$V$48</f>
        <v>0</v>
      </c>
      <c r="W12" s="20">
        <f>SUM($T$12:$V$12)</f>
        <v>0</v>
      </c>
      <c r="X12" s="20">
        <f>'TE BE'!$AB$12*'TE BE'!$X$48</f>
        <v>0</v>
      </c>
      <c r="Y12" s="20">
        <f>SUM($X$12:$X$12)</f>
        <v>0</v>
      </c>
      <c r="Z12" s="20">
        <f>'TE BE'!$Z$12*'TE BE'!$Z$48</f>
        <v>0</v>
      </c>
      <c r="AA12" s="20">
        <f>SUM($Z$12:$Z$12)</f>
        <v>0</v>
      </c>
      <c r="AB12" s="20">
        <f>SUMIF($L$4:$AA$4,"SUBTOTAL",$L$12:$AA$12)</f>
        <v>-2.283874650385068</v>
      </c>
    </row>
    <row r="13" spans="1:28" ht="11.25" customHeight="1" x14ac:dyDescent="0.3">
      <c r="A13" s="96"/>
      <c r="B13" s="96"/>
      <c r="C13" s="96"/>
      <c r="D13" s="22" t="s">
        <v>31</v>
      </c>
      <c r="E13" s="22" t="s">
        <v>25</v>
      </c>
      <c r="F13" s="22" t="s">
        <v>25</v>
      </c>
      <c r="G13" s="23" t="s">
        <v>75</v>
      </c>
      <c r="H13" s="23" t="s">
        <v>69</v>
      </c>
      <c r="I13" s="23">
        <f>'MERCADO TE'!$U$10</f>
        <v>116.22800000000001</v>
      </c>
      <c r="J13" s="15"/>
      <c r="L13" s="20">
        <f>'TE BE'!$L$13*'TE BE'!$L$48</f>
        <v>0</v>
      </c>
      <c r="M13" s="20">
        <f>'TE BE'!$M$13*'TE BE'!$M$48</f>
        <v>0</v>
      </c>
      <c r="N13" s="20">
        <f>'TE BE'!$N$13*'TE BE'!$N$48</f>
        <v>0</v>
      </c>
      <c r="O13" s="20">
        <f>'TE BE'!$O$13*'TE BE'!$O$48</f>
        <v>0</v>
      </c>
      <c r="P13" s="20">
        <f>'TE BE'!$P$13*'TE BE'!$P$48</f>
        <v>0</v>
      </c>
      <c r="Q13" s="20">
        <f>SUM($L$13:$P$13)</f>
        <v>0</v>
      </c>
      <c r="R13" s="20">
        <f>'TE BE'!$R$13*'TE BE'!$R$48</f>
        <v>-2.283874650385068</v>
      </c>
      <c r="S13" s="20">
        <f>SUM($R$13:$R$13)</f>
        <v>-2.283874650385068</v>
      </c>
      <c r="T13" s="20">
        <f>'TE BE'!$T$13*'TE BE'!$T$48</f>
        <v>0</v>
      </c>
      <c r="U13" s="20">
        <f>'TE BE'!$U$13*'TE BE'!$U$48</f>
        <v>0</v>
      </c>
      <c r="V13" s="20">
        <f>'TE BE'!$V$13*'TE BE'!$V$48</f>
        <v>0</v>
      </c>
      <c r="W13" s="20">
        <f>SUM($T$13:$V$13)</f>
        <v>0</v>
      </c>
      <c r="X13" s="20">
        <f>'TE BE'!$AB$13*'TE BE'!$X$48</f>
        <v>0</v>
      </c>
      <c r="Y13" s="20">
        <f>SUM($X$13:$X$13)</f>
        <v>0</v>
      </c>
      <c r="Z13" s="20">
        <f>'TE BE'!$Z$13*'TE BE'!$Z$48</f>
        <v>0</v>
      </c>
      <c r="AA13" s="20">
        <f>SUM($Z$13:$Z$13)</f>
        <v>0</v>
      </c>
      <c r="AB13" s="20">
        <f>SUMIF($L$4:$AA$4,"SUBTOTAL",$L$13:$AA$13)</f>
        <v>-2.283874650385068</v>
      </c>
    </row>
    <row r="14" spans="1:28" ht="11.25" customHeight="1" x14ac:dyDescent="0.3">
      <c r="A14" s="96"/>
      <c r="B14" s="96"/>
      <c r="C14" s="96"/>
      <c r="D14" s="22" t="s">
        <v>32</v>
      </c>
      <c r="E14" s="22" t="s">
        <v>25</v>
      </c>
      <c r="F14" s="22" t="s">
        <v>25</v>
      </c>
      <c r="G14" s="23" t="s">
        <v>75</v>
      </c>
      <c r="H14" s="23" t="s">
        <v>69</v>
      </c>
      <c r="I14" s="23">
        <f>'MERCADO TE'!$U$11</f>
        <v>45.311999999999998</v>
      </c>
      <c r="J14" s="15"/>
      <c r="L14" s="20">
        <f>'TE BE'!$L$14*'TE BE'!$L$48</f>
        <v>0</v>
      </c>
      <c r="M14" s="20">
        <f>'TE BE'!$M$14*'TE BE'!$M$48</f>
        <v>0</v>
      </c>
      <c r="N14" s="20">
        <f>'TE BE'!$N$14*'TE BE'!$N$48</f>
        <v>0</v>
      </c>
      <c r="O14" s="20">
        <f>'TE BE'!$O$14*'TE BE'!$O$48</f>
        <v>0</v>
      </c>
      <c r="P14" s="20">
        <f>'TE BE'!$P$14*'TE BE'!$P$48</f>
        <v>0</v>
      </c>
      <c r="Q14" s="20">
        <f>SUM($L$14:$P$14)</f>
        <v>0</v>
      </c>
      <c r="R14" s="20">
        <f>'TE BE'!$R$14*'TE BE'!$R$48</f>
        <v>-2.283874650385068</v>
      </c>
      <c r="S14" s="20">
        <f>SUM($R$14:$R$14)</f>
        <v>-2.283874650385068</v>
      </c>
      <c r="T14" s="20">
        <f>'TE BE'!$T$14*'TE BE'!$T$48</f>
        <v>0</v>
      </c>
      <c r="U14" s="20">
        <f>'TE BE'!$U$14*'TE BE'!$U$48</f>
        <v>0</v>
      </c>
      <c r="V14" s="20">
        <f>'TE BE'!$V$14*'TE BE'!$V$48</f>
        <v>0</v>
      </c>
      <c r="W14" s="20">
        <f>SUM($T$14:$V$14)</f>
        <v>0</v>
      </c>
      <c r="X14" s="20">
        <f>'TE BE'!$AB$14*'TE BE'!$X$48</f>
        <v>0</v>
      </c>
      <c r="Y14" s="20">
        <f>SUM($X$14:$X$14)</f>
        <v>0</v>
      </c>
      <c r="Z14" s="20">
        <f>'TE BE'!$Z$14*'TE BE'!$Z$48</f>
        <v>0</v>
      </c>
      <c r="AA14" s="20">
        <f>SUM($Z$14:$Z$14)</f>
        <v>0</v>
      </c>
      <c r="AB14" s="20">
        <f>SUMIF($L$4:$AA$4,"SUBTOTAL",$L$14:$AA$14)</f>
        <v>-2.283874650385068</v>
      </c>
    </row>
    <row r="15" spans="1:28" ht="11.25" customHeight="1" x14ac:dyDescent="0.3">
      <c r="A15" s="96"/>
      <c r="B15" s="96" t="s">
        <v>83</v>
      </c>
      <c r="C15" s="96" t="s">
        <v>24</v>
      </c>
      <c r="D15" s="22" t="s">
        <v>24</v>
      </c>
      <c r="E15" s="22" t="s">
        <v>25</v>
      </c>
      <c r="F15" s="22" t="s">
        <v>25</v>
      </c>
      <c r="G15" s="23" t="s">
        <v>75</v>
      </c>
      <c r="H15" s="23" t="s">
        <v>69</v>
      </c>
      <c r="I15" s="23">
        <f>'MERCADO TE'!$U$12</f>
        <v>0</v>
      </c>
      <c r="J15" s="15"/>
      <c r="L15" s="20">
        <f>'TE BE'!$L$15*'TE BE'!$L$48</f>
        <v>0</v>
      </c>
      <c r="M15" s="20">
        <f>'TE BE'!$M$15*'TE BE'!$M$48</f>
        <v>0</v>
      </c>
      <c r="N15" s="20">
        <f>'TE BE'!$N$15*'TE BE'!$N$48</f>
        <v>0</v>
      </c>
      <c r="O15" s="20">
        <f>'TE BE'!$O$15*'TE BE'!$O$48</f>
        <v>0</v>
      </c>
      <c r="P15" s="20">
        <f>'TE BE'!$P$15*'TE BE'!$P$48</f>
        <v>0</v>
      </c>
      <c r="Q15" s="20">
        <f>SUM($L$15:$P$15)</f>
        <v>0</v>
      </c>
      <c r="R15" s="20">
        <f>'TE BE'!$R$15*'TE BE'!$R$48</f>
        <v>-2.283874650385068</v>
      </c>
      <c r="S15" s="20">
        <f>SUM($R$15:$R$15)</f>
        <v>-2.283874650385068</v>
      </c>
      <c r="T15" s="20">
        <f>'TE BE'!$T$15*'TE BE'!$T$48</f>
        <v>0</v>
      </c>
      <c r="U15" s="20">
        <f>'TE BE'!$U$15*'TE BE'!$U$48</f>
        <v>0</v>
      </c>
      <c r="V15" s="20">
        <f>'TE BE'!$V$15*'TE BE'!$V$48</f>
        <v>0</v>
      </c>
      <c r="W15" s="20">
        <f>SUM($T$15:$V$15)</f>
        <v>0</v>
      </c>
      <c r="X15" s="20">
        <f>'TE BE'!$AB$15*'TE BE'!$X$48</f>
        <v>0</v>
      </c>
      <c r="Y15" s="20">
        <f>SUM($X$15:$X$15)</f>
        <v>0</v>
      </c>
      <c r="Z15" s="20">
        <f>'TE BE'!$Z$15*'TE BE'!$Z$48</f>
        <v>0</v>
      </c>
      <c r="AA15" s="20">
        <f>SUM($Z$15:$Z$15)</f>
        <v>0</v>
      </c>
      <c r="AB15" s="20">
        <f>SUMIF($L$4:$AA$4,"SUBTOTAL",$L$15:$AA$15)</f>
        <v>-2.283874650385068</v>
      </c>
    </row>
    <row r="16" spans="1:28" ht="11.25" customHeight="1" x14ac:dyDescent="0.3">
      <c r="A16" s="96"/>
      <c r="B16" s="96"/>
      <c r="C16" s="96"/>
      <c r="D16" s="22" t="s">
        <v>29</v>
      </c>
      <c r="E16" s="22" t="s">
        <v>25</v>
      </c>
      <c r="F16" s="22" t="s">
        <v>25</v>
      </c>
      <c r="G16" s="23" t="s">
        <v>75</v>
      </c>
      <c r="H16" s="23" t="s">
        <v>69</v>
      </c>
      <c r="I16" s="23">
        <f>'MERCADO TE'!$U$13</f>
        <v>0</v>
      </c>
      <c r="J16" s="15"/>
      <c r="L16" s="20">
        <f>'TE BE'!$L$16*'TE BE'!$L$48</f>
        <v>0</v>
      </c>
      <c r="M16" s="20">
        <f>'TE BE'!$M$16*'TE BE'!$M$48</f>
        <v>0</v>
      </c>
      <c r="N16" s="20">
        <f>'TE BE'!$N$16*'TE BE'!$N$48</f>
        <v>0</v>
      </c>
      <c r="O16" s="20">
        <f>'TE BE'!$O$16*'TE BE'!$O$48</f>
        <v>0</v>
      </c>
      <c r="P16" s="20">
        <f>'TE BE'!$P$16*'TE BE'!$P$48</f>
        <v>0</v>
      </c>
      <c r="Q16" s="20">
        <f>SUM($L$16:$P$16)</f>
        <v>0</v>
      </c>
      <c r="R16" s="20">
        <f>'TE BE'!$R$16*'TE BE'!$R$48</f>
        <v>-2.283874650385068</v>
      </c>
      <c r="S16" s="20">
        <f>SUM($R$16:$R$16)</f>
        <v>-2.283874650385068</v>
      </c>
      <c r="T16" s="20">
        <f>'TE BE'!$T$16*'TE BE'!$T$48</f>
        <v>0</v>
      </c>
      <c r="U16" s="20">
        <f>'TE BE'!$U$16*'TE BE'!$U$48</f>
        <v>0</v>
      </c>
      <c r="V16" s="20">
        <f>'TE BE'!$V$16*'TE BE'!$V$48</f>
        <v>0</v>
      </c>
      <c r="W16" s="20">
        <f>SUM($T$16:$V$16)</f>
        <v>0</v>
      </c>
      <c r="X16" s="20">
        <f>'TE BE'!$AB$16*'TE BE'!$X$48</f>
        <v>0</v>
      </c>
      <c r="Y16" s="20">
        <f>SUM($X$16:$X$16)</f>
        <v>0</v>
      </c>
      <c r="Z16" s="20">
        <f>'TE BE'!$Z$16*'TE BE'!$Z$48</f>
        <v>0</v>
      </c>
      <c r="AA16" s="20">
        <f>SUM($Z$16:$Z$16)</f>
        <v>0</v>
      </c>
      <c r="AB16" s="20">
        <f>SUMIF($L$4:$AA$4,"SUBTOTAL",$L$16:$AA$16)</f>
        <v>-2.283874650385068</v>
      </c>
    </row>
    <row r="17" spans="1:28" ht="11.25" customHeight="1" x14ac:dyDescent="0.3">
      <c r="A17" s="96"/>
      <c r="B17" s="96"/>
      <c r="C17" s="96"/>
      <c r="D17" s="22" t="s">
        <v>30</v>
      </c>
      <c r="E17" s="22" t="s">
        <v>25</v>
      </c>
      <c r="F17" s="22" t="s">
        <v>25</v>
      </c>
      <c r="G17" s="23" t="s">
        <v>75</v>
      </c>
      <c r="H17" s="23" t="s">
        <v>69</v>
      </c>
      <c r="I17" s="23">
        <f>'MERCADO TE'!$U$14</f>
        <v>0</v>
      </c>
      <c r="J17" s="15"/>
      <c r="L17" s="20">
        <f>'TE BE'!$L$17*'TE BE'!$L$48</f>
        <v>0</v>
      </c>
      <c r="M17" s="20">
        <f>'TE BE'!$M$17*'TE BE'!$M$48</f>
        <v>0</v>
      </c>
      <c r="N17" s="20">
        <f>'TE BE'!$N$17*'TE BE'!$N$48</f>
        <v>0</v>
      </c>
      <c r="O17" s="20">
        <f>'TE BE'!$O$17*'TE BE'!$O$48</f>
        <v>0</v>
      </c>
      <c r="P17" s="20">
        <f>'TE BE'!$P$17*'TE BE'!$P$48</f>
        <v>0</v>
      </c>
      <c r="Q17" s="20">
        <f>SUM($L$17:$P$17)</f>
        <v>0</v>
      </c>
      <c r="R17" s="20">
        <f>'TE BE'!$R$17*'TE BE'!$R$48</f>
        <v>-2.283874650385068</v>
      </c>
      <c r="S17" s="20">
        <f>SUM($R$17:$R$17)</f>
        <v>-2.283874650385068</v>
      </c>
      <c r="T17" s="20">
        <f>'TE BE'!$T$17*'TE BE'!$T$48</f>
        <v>0</v>
      </c>
      <c r="U17" s="20">
        <f>'TE BE'!$U$17*'TE BE'!$U$48</f>
        <v>0</v>
      </c>
      <c r="V17" s="20">
        <f>'TE BE'!$V$17*'TE BE'!$V$48</f>
        <v>0</v>
      </c>
      <c r="W17" s="20">
        <f>SUM($T$17:$V$17)</f>
        <v>0</v>
      </c>
      <c r="X17" s="20">
        <f>'TE BE'!$AB$17*'TE BE'!$X$48</f>
        <v>0</v>
      </c>
      <c r="Y17" s="20">
        <f>SUM($X$17:$X$17)</f>
        <v>0</v>
      </c>
      <c r="Z17" s="20">
        <f>'TE BE'!$Z$17*'TE BE'!$Z$48</f>
        <v>0</v>
      </c>
      <c r="AA17" s="20">
        <f>SUM($Z$17:$Z$17)</f>
        <v>0</v>
      </c>
      <c r="AB17" s="20">
        <f>SUMIF($L$4:$AA$4,"SUBTOTAL",$L$17:$AA$17)</f>
        <v>-2.283874650385068</v>
      </c>
    </row>
    <row r="18" spans="1:28" ht="11.25" customHeight="1" x14ac:dyDescent="0.3">
      <c r="A18" s="96"/>
      <c r="B18" s="96"/>
      <c r="C18" s="96"/>
      <c r="D18" s="22" t="s">
        <v>31</v>
      </c>
      <c r="E18" s="22" t="s">
        <v>25</v>
      </c>
      <c r="F18" s="22" t="s">
        <v>25</v>
      </c>
      <c r="G18" s="23" t="s">
        <v>75</v>
      </c>
      <c r="H18" s="23" t="s">
        <v>69</v>
      </c>
      <c r="I18" s="23">
        <f>'MERCADO TE'!$U$15</f>
        <v>0</v>
      </c>
      <c r="J18" s="15"/>
      <c r="L18" s="20">
        <f>'TE BE'!$L$18*'TE BE'!$L$48</f>
        <v>0</v>
      </c>
      <c r="M18" s="20">
        <f>'TE BE'!$M$18*'TE BE'!$M$48</f>
        <v>0</v>
      </c>
      <c r="N18" s="20">
        <f>'TE BE'!$N$18*'TE BE'!$N$48</f>
        <v>0</v>
      </c>
      <c r="O18" s="20">
        <f>'TE BE'!$O$18*'TE BE'!$O$48</f>
        <v>0</v>
      </c>
      <c r="P18" s="20">
        <f>'TE BE'!$P$18*'TE BE'!$P$48</f>
        <v>0</v>
      </c>
      <c r="Q18" s="20">
        <f>SUM($L$18:$P$18)</f>
        <v>0</v>
      </c>
      <c r="R18" s="20">
        <f>'TE BE'!$R$18*'TE BE'!$R$48</f>
        <v>-2.283874650385068</v>
      </c>
      <c r="S18" s="20">
        <f>SUM($R$18:$R$18)</f>
        <v>-2.283874650385068</v>
      </c>
      <c r="T18" s="20">
        <f>'TE BE'!$T$18*'TE BE'!$T$48</f>
        <v>0</v>
      </c>
      <c r="U18" s="20">
        <f>'TE BE'!$U$18*'TE BE'!$U$48</f>
        <v>0</v>
      </c>
      <c r="V18" s="20">
        <f>'TE BE'!$V$18*'TE BE'!$V$48</f>
        <v>0</v>
      </c>
      <c r="W18" s="20">
        <f>SUM($T$18:$V$18)</f>
        <v>0</v>
      </c>
      <c r="X18" s="20">
        <f>'TE BE'!$AB$18*'TE BE'!$X$48</f>
        <v>0</v>
      </c>
      <c r="Y18" s="20">
        <f>SUM($X$18:$X$18)</f>
        <v>0</v>
      </c>
      <c r="Z18" s="20">
        <f>'TE BE'!$Z$18*'TE BE'!$Z$48</f>
        <v>0</v>
      </c>
      <c r="AA18" s="20">
        <f>SUM($Z$18:$Z$18)</f>
        <v>0</v>
      </c>
      <c r="AB18" s="20">
        <f>SUMIF($L$4:$AA$4,"SUBTOTAL",$L$18:$AA$18)</f>
        <v>-2.283874650385068</v>
      </c>
    </row>
    <row r="19" spans="1:28" ht="11.25" customHeight="1" x14ac:dyDescent="0.3">
      <c r="A19" s="96"/>
      <c r="B19" s="96"/>
      <c r="C19" s="96"/>
      <c r="D19" s="22" t="s">
        <v>32</v>
      </c>
      <c r="E19" s="22" t="s">
        <v>25</v>
      </c>
      <c r="F19" s="22" t="s">
        <v>25</v>
      </c>
      <c r="G19" s="23" t="s">
        <v>75</v>
      </c>
      <c r="H19" s="23" t="s">
        <v>69</v>
      </c>
      <c r="I19" s="23">
        <f>'MERCADO TE'!$U$16</f>
        <v>0</v>
      </c>
      <c r="J19" s="15"/>
      <c r="L19" s="20">
        <f>'TE BE'!$L$19*'TE BE'!$L$48</f>
        <v>0</v>
      </c>
      <c r="M19" s="20">
        <f>'TE BE'!$M$19*'TE BE'!$M$48</f>
        <v>0</v>
      </c>
      <c r="N19" s="20">
        <f>'TE BE'!$N$19*'TE BE'!$N$48</f>
        <v>0</v>
      </c>
      <c r="O19" s="20">
        <f>'TE BE'!$O$19*'TE BE'!$O$48</f>
        <v>0</v>
      </c>
      <c r="P19" s="20">
        <f>'TE BE'!$P$19*'TE BE'!$P$48</f>
        <v>0</v>
      </c>
      <c r="Q19" s="20">
        <f>SUM($L$19:$P$19)</f>
        <v>0</v>
      </c>
      <c r="R19" s="20">
        <f>'TE BE'!$R$19*'TE BE'!$R$48</f>
        <v>-2.283874650385068</v>
      </c>
      <c r="S19" s="20">
        <f>SUM($R$19:$R$19)</f>
        <v>-2.283874650385068</v>
      </c>
      <c r="T19" s="20">
        <f>'TE BE'!$T$19*'TE BE'!$T$48</f>
        <v>0</v>
      </c>
      <c r="U19" s="20">
        <f>'TE BE'!$U$19*'TE BE'!$U$48</f>
        <v>0</v>
      </c>
      <c r="V19" s="20">
        <f>'TE BE'!$V$19*'TE BE'!$V$48</f>
        <v>0</v>
      </c>
      <c r="W19" s="20">
        <f>SUM($T$19:$V$19)</f>
        <v>0</v>
      </c>
      <c r="X19" s="20">
        <f>'TE BE'!$AB$19*'TE BE'!$X$48</f>
        <v>0</v>
      </c>
      <c r="Y19" s="20">
        <f>SUM($X$19:$X$19)</f>
        <v>0</v>
      </c>
      <c r="Z19" s="20">
        <f>'TE BE'!$Z$19*'TE BE'!$Z$48</f>
        <v>0</v>
      </c>
      <c r="AA19" s="20">
        <f>SUM($Z$19:$Z$19)</f>
        <v>0</v>
      </c>
      <c r="AB19" s="20">
        <f>SUMIF($L$4:$AA$4,"SUBTOTAL",$L$19:$AA$19)</f>
        <v>-2.283874650385068</v>
      </c>
    </row>
    <row r="20" spans="1:28" ht="11.25" customHeight="1" x14ac:dyDescent="0.3">
      <c r="A20" s="96" t="s">
        <v>42</v>
      </c>
      <c r="B20" s="96" t="s">
        <v>68</v>
      </c>
      <c r="C20" s="96" t="s">
        <v>43</v>
      </c>
      <c r="D20" s="96" t="s">
        <v>25</v>
      </c>
      <c r="E20" s="96" t="s">
        <v>25</v>
      </c>
      <c r="F20" s="96" t="s">
        <v>25</v>
      </c>
      <c r="G20" s="23" t="s">
        <v>70</v>
      </c>
      <c r="H20" s="23" t="s">
        <v>69</v>
      </c>
      <c r="I20" s="23">
        <f>'MERCADO TE'!$U$17</f>
        <v>0</v>
      </c>
      <c r="J20" s="15"/>
      <c r="L20" s="20">
        <f>'TE BE'!$L$20*'TE BE'!$L$48</f>
        <v>0</v>
      </c>
      <c r="M20" s="20">
        <f>'TE BE'!$M$20*'TE BE'!$M$48</f>
        <v>0</v>
      </c>
      <c r="N20" s="20">
        <f>'TE BE'!$N$20*'TE BE'!$N$48</f>
        <v>0</v>
      </c>
      <c r="O20" s="20">
        <f>'TE BE'!$O$20*'TE BE'!$O$48</f>
        <v>0</v>
      </c>
      <c r="P20" s="20">
        <f>'TE BE'!$P$20*'TE BE'!$P$48</f>
        <v>0</v>
      </c>
      <c r="Q20" s="20">
        <f>SUM($L$20:$P$20)</f>
        <v>0</v>
      </c>
      <c r="R20" s="20">
        <f>'TE BE'!$R$20*'TE BE'!$R$48</f>
        <v>-2.283874650385068</v>
      </c>
      <c r="S20" s="20">
        <f>SUM($R$20:$R$20)</f>
        <v>-2.283874650385068</v>
      </c>
      <c r="T20" s="20">
        <f>'TE BE'!$T$20*'TE BE'!$T$48</f>
        <v>0</v>
      </c>
      <c r="U20" s="20">
        <f>'TE BE'!$U$20*'TE BE'!$U$48</f>
        <v>0</v>
      </c>
      <c r="V20" s="20">
        <f>'TE BE'!$V$20*'TE BE'!$V$48</f>
        <v>0</v>
      </c>
      <c r="W20" s="20">
        <f>SUM($T$20:$V$20)</f>
        <v>0</v>
      </c>
      <c r="X20" s="20">
        <f>'TE BE'!$AB$20*'TE BE'!$X$48</f>
        <v>0</v>
      </c>
      <c r="Y20" s="20">
        <f>SUM($X$20:$X$20)</f>
        <v>0</v>
      </c>
      <c r="Z20" s="20">
        <f>'TE BE'!$Z$20*'TE BE'!$Z$48</f>
        <v>0</v>
      </c>
      <c r="AA20" s="20">
        <f>SUM($Z$20:$Z$20)</f>
        <v>0</v>
      </c>
      <c r="AB20" s="20">
        <f>SUMIF($L$4:$AA$4,"SUBTOTAL",$L$20:$AA$20)</f>
        <v>-2.283874650385068</v>
      </c>
    </row>
    <row r="21" spans="1:28" ht="11.25" customHeight="1" x14ac:dyDescent="0.3">
      <c r="A21" s="96"/>
      <c r="B21" s="96"/>
      <c r="C21" s="96"/>
      <c r="D21" s="96"/>
      <c r="E21" s="96"/>
      <c r="F21" s="96"/>
      <c r="G21" s="23" t="s">
        <v>81</v>
      </c>
      <c r="H21" s="23" t="s">
        <v>69</v>
      </c>
      <c r="I21" s="23">
        <f>'MERCADO TE'!$U$18</f>
        <v>0</v>
      </c>
      <c r="J21" s="15"/>
      <c r="L21" s="20">
        <f>'TE BE'!$L$21*'TE BE'!$L$48</f>
        <v>0</v>
      </c>
      <c r="M21" s="20">
        <f>'TE BE'!$M$21*'TE BE'!$M$48</f>
        <v>0</v>
      </c>
      <c r="N21" s="20">
        <f>'TE BE'!$N$21*'TE BE'!$N$48</f>
        <v>0</v>
      </c>
      <c r="O21" s="20">
        <f>'TE BE'!$O$21*'TE BE'!$O$48</f>
        <v>0</v>
      </c>
      <c r="P21" s="20">
        <f>'TE BE'!$P$21*'TE BE'!$P$48</f>
        <v>0</v>
      </c>
      <c r="Q21" s="20">
        <f>SUM($L$21:$P$21)</f>
        <v>0</v>
      </c>
      <c r="R21" s="20">
        <f>'TE BE'!$R$21*'TE BE'!$R$48</f>
        <v>-2.283874650385068</v>
      </c>
      <c r="S21" s="20">
        <f>SUM($R$21:$R$21)</f>
        <v>-2.283874650385068</v>
      </c>
      <c r="T21" s="20">
        <f>'TE BE'!$T$21*'TE BE'!$T$48</f>
        <v>0</v>
      </c>
      <c r="U21" s="20">
        <f>'TE BE'!$U$21*'TE BE'!$U$48</f>
        <v>0</v>
      </c>
      <c r="V21" s="20">
        <f>'TE BE'!$V$21*'TE BE'!$V$48</f>
        <v>0</v>
      </c>
      <c r="W21" s="20">
        <f>SUM($T$21:$V$21)</f>
        <v>0</v>
      </c>
      <c r="X21" s="20">
        <f>'TE BE'!$AB$21*'TE BE'!$X$48</f>
        <v>0</v>
      </c>
      <c r="Y21" s="20">
        <f>SUM($X$21:$X$21)</f>
        <v>0</v>
      </c>
      <c r="Z21" s="20">
        <f>'TE BE'!$Z$21*'TE BE'!$Z$48</f>
        <v>0</v>
      </c>
      <c r="AA21" s="20">
        <f>SUM($Z$21:$Z$21)</f>
        <v>0</v>
      </c>
      <c r="AB21" s="20">
        <f>SUMIF($L$4:$AA$4,"SUBTOTAL",$L$21:$AA$21)</f>
        <v>-2.283874650385068</v>
      </c>
    </row>
    <row r="22" spans="1:28" ht="11.25" customHeight="1" x14ac:dyDescent="0.3">
      <c r="A22" s="96"/>
      <c r="B22" s="96"/>
      <c r="C22" s="96"/>
      <c r="D22" s="96"/>
      <c r="E22" s="96"/>
      <c r="F22" s="96"/>
      <c r="G22" s="23" t="s">
        <v>71</v>
      </c>
      <c r="H22" s="23" t="s">
        <v>69</v>
      </c>
      <c r="I22" s="23">
        <f>'MERCADO TE'!$U$19</f>
        <v>0</v>
      </c>
      <c r="J22" s="15"/>
      <c r="L22" s="20">
        <f>'TE BE'!$L$22*'TE BE'!$L$48</f>
        <v>0</v>
      </c>
      <c r="M22" s="20">
        <f>'TE BE'!$M$22*'TE BE'!$M$48</f>
        <v>0</v>
      </c>
      <c r="N22" s="20">
        <f>'TE BE'!$N$22*'TE BE'!$N$48</f>
        <v>0</v>
      </c>
      <c r="O22" s="20">
        <f>'TE BE'!$O$22*'TE BE'!$O$48</f>
        <v>0</v>
      </c>
      <c r="P22" s="20">
        <f>'TE BE'!$P$22*'TE BE'!$P$48</f>
        <v>0</v>
      </c>
      <c r="Q22" s="20">
        <f>SUM($L$22:$P$22)</f>
        <v>0</v>
      </c>
      <c r="R22" s="20">
        <f>'TE BE'!$R$22*'TE BE'!$R$48</f>
        <v>-2.283874650385068</v>
      </c>
      <c r="S22" s="20">
        <f>SUM($R$22:$R$22)</f>
        <v>-2.283874650385068</v>
      </c>
      <c r="T22" s="20">
        <f>'TE BE'!$T$22*'TE BE'!$T$48</f>
        <v>0</v>
      </c>
      <c r="U22" s="20">
        <f>'TE BE'!$U$22*'TE BE'!$U$48</f>
        <v>0</v>
      </c>
      <c r="V22" s="20">
        <f>'TE BE'!$V$22*'TE BE'!$V$48</f>
        <v>0</v>
      </c>
      <c r="W22" s="20">
        <f>SUM($T$22:$V$22)</f>
        <v>0</v>
      </c>
      <c r="X22" s="20">
        <f>'TE BE'!$AB$22*'TE BE'!$X$48</f>
        <v>0</v>
      </c>
      <c r="Y22" s="20">
        <f>SUM($X$22:$X$22)</f>
        <v>0</v>
      </c>
      <c r="Z22" s="20">
        <f>'TE BE'!$Z$22*'TE BE'!$Z$48</f>
        <v>0</v>
      </c>
      <c r="AA22" s="20">
        <f>SUM($Z$22:$Z$22)</f>
        <v>0</v>
      </c>
      <c r="AB22" s="20">
        <f>SUMIF($L$4:$AA$4,"SUBTOTAL",$L$22:$AA$22)</f>
        <v>-2.283874650385068</v>
      </c>
    </row>
    <row r="23" spans="1:28" ht="11.25" customHeight="1" x14ac:dyDescent="0.3">
      <c r="A23" s="96"/>
      <c r="B23" s="22" t="s">
        <v>82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75</v>
      </c>
      <c r="H23" s="23" t="s">
        <v>69</v>
      </c>
      <c r="I23" s="23">
        <f>'MERCADO TE'!$U$20</f>
        <v>3371.0129999999999</v>
      </c>
      <c r="J23" s="15"/>
      <c r="L23" s="20">
        <f>'TE BE'!$L$23*'TE BE'!$L$48</f>
        <v>0</v>
      </c>
      <c r="M23" s="20">
        <f>'TE BE'!$M$23*'TE BE'!$M$48</f>
        <v>0</v>
      </c>
      <c r="N23" s="20">
        <f>'TE BE'!$N$23*'TE BE'!$N$48</f>
        <v>0</v>
      </c>
      <c r="O23" s="20">
        <f>'TE BE'!$O$23*'TE BE'!$O$48</f>
        <v>0</v>
      </c>
      <c r="P23" s="20">
        <f>'TE BE'!$P$23*'TE BE'!$P$48</f>
        <v>0</v>
      </c>
      <c r="Q23" s="20">
        <f>SUM($L$23:$P$23)</f>
        <v>0</v>
      </c>
      <c r="R23" s="20">
        <f>'TE BE'!$R$23*'TE BE'!$R$48</f>
        <v>-2.283874650385068</v>
      </c>
      <c r="S23" s="20">
        <f>SUM($R$23:$R$23)</f>
        <v>-2.283874650385068</v>
      </c>
      <c r="T23" s="20">
        <f>'TE BE'!$T$23*'TE BE'!$T$48</f>
        <v>0</v>
      </c>
      <c r="U23" s="20">
        <f>'TE BE'!$U$23*'TE BE'!$U$48</f>
        <v>0</v>
      </c>
      <c r="V23" s="20">
        <f>'TE BE'!$V$23*'TE BE'!$V$48</f>
        <v>0</v>
      </c>
      <c r="W23" s="20">
        <f>SUM($T$23:$V$23)</f>
        <v>0</v>
      </c>
      <c r="X23" s="20">
        <f>'TE BE'!$AB$23*'TE BE'!$X$48</f>
        <v>0</v>
      </c>
      <c r="Y23" s="20">
        <f>SUM($X$23:$X$23)</f>
        <v>0</v>
      </c>
      <c r="Z23" s="20">
        <f>'TE BE'!$Z$23*'TE BE'!$Z$48</f>
        <v>0</v>
      </c>
      <c r="AA23" s="20">
        <f>SUM($Z$23:$Z$23)</f>
        <v>0</v>
      </c>
      <c r="AB23" s="20">
        <f>SUMIF($L$4:$AA$4,"SUBTOTAL",$L$23:$AA$23)</f>
        <v>-2.283874650385068</v>
      </c>
    </row>
    <row r="24" spans="1:28" ht="11.25" customHeight="1" x14ac:dyDescent="0.3">
      <c r="A24" s="96"/>
      <c r="B24" s="96" t="s">
        <v>68</v>
      </c>
      <c r="C24" s="96" t="s">
        <v>43</v>
      </c>
      <c r="D24" s="96" t="s">
        <v>85</v>
      </c>
      <c r="E24" s="96" t="s">
        <v>25</v>
      </c>
      <c r="F24" s="96" t="s">
        <v>25</v>
      </c>
      <c r="G24" s="23" t="s">
        <v>70</v>
      </c>
      <c r="H24" s="23" t="s">
        <v>69</v>
      </c>
      <c r="I24" s="23">
        <f>'MERCADO TE'!$U$21</f>
        <v>0</v>
      </c>
      <c r="J24" s="15"/>
      <c r="L24" s="20">
        <f>'TE BE'!$L$24*'TE BE'!$L$48</f>
        <v>0</v>
      </c>
      <c r="M24" s="20">
        <f>'TE BE'!$M$24*'TE BE'!$M$48</f>
        <v>0</v>
      </c>
      <c r="N24" s="20">
        <f>'TE BE'!$N$24*'TE BE'!$N$48</f>
        <v>0</v>
      </c>
      <c r="O24" s="20">
        <f>'TE BE'!$O$24*'TE BE'!$O$48</f>
        <v>0</v>
      </c>
      <c r="P24" s="20">
        <f>'TE BE'!$P$24*'TE BE'!$P$48</f>
        <v>0</v>
      </c>
      <c r="Q24" s="20">
        <f>SUM($L$24:$P$24)</f>
        <v>0</v>
      </c>
      <c r="R24" s="20">
        <f>'TE BE'!$R$24*'TE BE'!$R$48</f>
        <v>-2.283874650385068</v>
      </c>
      <c r="S24" s="20">
        <f>SUM($R$24:$R$24)</f>
        <v>-2.283874650385068</v>
      </c>
      <c r="T24" s="20">
        <f>'TE BE'!$T$24*'TE BE'!$T$48</f>
        <v>0</v>
      </c>
      <c r="U24" s="20">
        <f>'TE BE'!$U$24*'TE BE'!$U$48</f>
        <v>0</v>
      </c>
      <c r="V24" s="20">
        <f>'TE BE'!$V$24*'TE BE'!$V$48</f>
        <v>0</v>
      </c>
      <c r="W24" s="20">
        <f>SUM($T$24:$V$24)</f>
        <v>0</v>
      </c>
      <c r="X24" s="20">
        <f>'TE BE'!$AB$24*'TE BE'!$X$48</f>
        <v>0</v>
      </c>
      <c r="Y24" s="20">
        <f>SUM($X$24:$X$24)</f>
        <v>0</v>
      </c>
      <c r="Z24" s="20">
        <f>'TE BE'!$Z$24*'TE BE'!$Z$48</f>
        <v>0</v>
      </c>
      <c r="AA24" s="20">
        <f>SUM($Z$24:$Z$24)</f>
        <v>0</v>
      </c>
      <c r="AB24" s="20">
        <f>SUMIF($L$4:$AA$4,"SUBTOTAL",$L$24:$AA$24)</f>
        <v>-2.283874650385068</v>
      </c>
    </row>
    <row r="25" spans="1:28" ht="11.25" customHeight="1" x14ac:dyDescent="0.3">
      <c r="A25" s="96"/>
      <c r="B25" s="96"/>
      <c r="C25" s="96"/>
      <c r="D25" s="96"/>
      <c r="E25" s="96"/>
      <c r="F25" s="96"/>
      <c r="G25" s="23" t="s">
        <v>81</v>
      </c>
      <c r="H25" s="23" t="s">
        <v>69</v>
      </c>
      <c r="I25" s="23">
        <f>'MERCADO TE'!$U$22</f>
        <v>0</v>
      </c>
      <c r="J25" s="15"/>
      <c r="L25" s="20">
        <f>'TE BE'!$L$25*'TE BE'!$L$48</f>
        <v>0</v>
      </c>
      <c r="M25" s="20">
        <f>'TE BE'!$M$25*'TE BE'!$M$48</f>
        <v>0</v>
      </c>
      <c r="N25" s="20">
        <f>'TE BE'!$N$25*'TE BE'!$N$48</f>
        <v>0</v>
      </c>
      <c r="O25" s="20">
        <f>'TE BE'!$O$25*'TE BE'!$O$48</f>
        <v>0</v>
      </c>
      <c r="P25" s="20">
        <f>'TE BE'!$P$25*'TE BE'!$P$48</f>
        <v>0</v>
      </c>
      <c r="Q25" s="20">
        <f>SUM($L$25:$P$25)</f>
        <v>0</v>
      </c>
      <c r="R25" s="20">
        <f>'TE BE'!$R$25*'TE BE'!$R$48</f>
        <v>-2.283874650385068</v>
      </c>
      <c r="S25" s="20">
        <f>SUM($R$25:$R$25)</f>
        <v>-2.283874650385068</v>
      </c>
      <c r="T25" s="20">
        <f>'TE BE'!$T$25*'TE BE'!$T$48</f>
        <v>0</v>
      </c>
      <c r="U25" s="20">
        <f>'TE BE'!$U$25*'TE BE'!$U$48</f>
        <v>0</v>
      </c>
      <c r="V25" s="20">
        <f>'TE BE'!$V$25*'TE BE'!$V$48</f>
        <v>0</v>
      </c>
      <c r="W25" s="20">
        <f>SUM($T$25:$V$25)</f>
        <v>0</v>
      </c>
      <c r="X25" s="20">
        <f>'TE BE'!$AB$25*'TE BE'!$X$48</f>
        <v>0</v>
      </c>
      <c r="Y25" s="20">
        <f>SUM($X$25:$X$25)</f>
        <v>0</v>
      </c>
      <c r="Z25" s="20">
        <f>'TE BE'!$Z$25*'TE BE'!$Z$48</f>
        <v>0</v>
      </c>
      <c r="AA25" s="20">
        <f>SUM($Z$25:$Z$25)</f>
        <v>0</v>
      </c>
      <c r="AB25" s="20">
        <f>SUMIF($L$4:$AA$4,"SUBTOTAL",$L$25:$AA$25)</f>
        <v>-2.283874650385068</v>
      </c>
    </row>
    <row r="26" spans="1:28" ht="11.25" customHeight="1" x14ac:dyDescent="0.3">
      <c r="A26" s="96"/>
      <c r="B26" s="96"/>
      <c r="C26" s="96"/>
      <c r="D26" s="96"/>
      <c r="E26" s="96"/>
      <c r="F26" s="96"/>
      <c r="G26" s="23" t="s">
        <v>71</v>
      </c>
      <c r="H26" s="23" t="s">
        <v>69</v>
      </c>
      <c r="I26" s="23">
        <f>'MERCADO TE'!$U$23</f>
        <v>0</v>
      </c>
      <c r="J26" s="15"/>
      <c r="L26" s="20">
        <f>'TE BE'!$L$26*'TE BE'!$L$48</f>
        <v>0</v>
      </c>
      <c r="M26" s="20">
        <f>'TE BE'!$M$26*'TE BE'!$M$48</f>
        <v>0</v>
      </c>
      <c r="N26" s="20">
        <f>'TE BE'!$N$26*'TE BE'!$N$48</f>
        <v>0</v>
      </c>
      <c r="O26" s="20">
        <f>'TE BE'!$O$26*'TE BE'!$O$48</f>
        <v>0</v>
      </c>
      <c r="P26" s="20">
        <f>'TE BE'!$P$26*'TE BE'!$P$48</f>
        <v>0</v>
      </c>
      <c r="Q26" s="20">
        <f>SUM($L$26:$P$26)</f>
        <v>0</v>
      </c>
      <c r="R26" s="20">
        <f>'TE BE'!$R$26*'TE BE'!$R$48</f>
        <v>-2.283874650385068</v>
      </c>
      <c r="S26" s="20">
        <f>SUM($R$26:$R$26)</f>
        <v>-2.283874650385068</v>
      </c>
      <c r="T26" s="20">
        <f>'TE BE'!$T$26*'TE BE'!$T$48</f>
        <v>0</v>
      </c>
      <c r="U26" s="20">
        <f>'TE BE'!$U$26*'TE BE'!$U$48</f>
        <v>0</v>
      </c>
      <c r="V26" s="20">
        <f>'TE BE'!$V$26*'TE BE'!$V$48</f>
        <v>0</v>
      </c>
      <c r="W26" s="20">
        <f>SUM($T$26:$V$26)</f>
        <v>0</v>
      </c>
      <c r="X26" s="20">
        <f>'TE BE'!$AB$26*'TE BE'!$X$48</f>
        <v>0</v>
      </c>
      <c r="Y26" s="20">
        <f>SUM($X$26:$X$26)</f>
        <v>0</v>
      </c>
      <c r="Z26" s="20">
        <f>'TE BE'!$Z$26*'TE BE'!$Z$48</f>
        <v>0</v>
      </c>
      <c r="AA26" s="20">
        <f>SUM($Z$26:$Z$26)</f>
        <v>0</v>
      </c>
      <c r="AB26" s="20">
        <f>SUMIF($L$4:$AA$4,"SUBTOTAL",$L$26:$AA$26)</f>
        <v>-2.283874650385068</v>
      </c>
    </row>
    <row r="27" spans="1:28" ht="11.25" customHeight="1" x14ac:dyDescent="0.3">
      <c r="A27" s="96"/>
      <c r="B27" s="22" t="s">
        <v>82</v>
      </c>
      <c r="C27" s="22" t="s">
        <v>43</v>
      </c>
      <c r="D27" s="22" t="s">
        <v>85</v>
      </c>
      <c r="E27" s="22" t="s">
        <v>25</v>
      </c>
      <c r="F27" s="22" t="s">
        <v>25</v>
      </c>
      <c r="G27" s="23" t="s">
        <v>75</v>
      </c>
      <c r="H27" s="23" t="s">
        <v>69</v>
      </c>
      <c r="I27" s="23">
        <f>'MERCADO TE'!$U$24</f>
        <v>0</v>
      </c>
      <c r="J27" s="15"/>
      <c r="L27" s="20">
        <f>'TE BE'!$L$27*'TE BE'!$L$48</f>
        <v>0</v>
      </c>
      <c r="M27" s="20">
        <f>'TE BE'!$M$27*'TE BE'!$M$48</f>
        <v>0</v>
      </c>
      <c r="N27" s="20">
        <f>'TE BE'!$N$27*'TE BE'!$N$48</f>
        <v>0</v>
      </c>
      <c r="O27" s="20">
        <f>'TE BE'!$O$27*'TE BE'!$O$48</f>
        <v>0</v>
      </c>
      <c r="P27" s="20">
        <f>'TE BE'!$P$27*'TE BE'!$P$48</f>
        <v>0</v>
      </c>
      <c r="Q27" s="20">
        <f>SUM($L$27:$P$27)</f>
        <v>0</v>
      </c>
      <c r="R27" s="20">
        <f>'TE BE'!$R$27*'TE BE'!$R$48</f>
        <v>-2.283874650385068</v>
      </c>
      <c r="S27" s="20">
        <f>SUM($R$27:$R$27)</f>
        <v>-2.283874650385068</v>
      </c>
      <c r="T27" s="20">
        <f>'TE BE'!$T$27*'TE BE'!$T$48</f>
        <v>0</v>
      </c>
      <c r="U27" s="20">
        <f>'TE BE'!$U$27*'TE BE'!$U$48</f>
        <v>0</v>
      </c>
      <c r="V27" s="20">
        <f>'TE BE'!$V$27*'TE BE'!$V$48</f>
        <v>0</v>
      </c>
      <c r="W27" s="20">
        <f>SUM($T$27:$V$27)</f>
        <v>0</v>
      </c>
      <c r="X27" s="20">
        <f>'TE BE'!$AB$27*'TE BE'!$X$48</f>
        <v>0</v>
      </c>
      <c r="Y27" s="20">
        <f>SUM($X$27:$X$27)</f>
        <v>0</v>
      </c>
      <c r="Z27" s="20">
        <f>'TE BE'!$Z$27*'TE BE'!$Z$48</f>
        <v>0</v>
      </c>
      <c r="AA27" s="20">
        <f>SUM($Z$27:$Z$27)</f>
        <v>0</v>
      </c>
      <c r="AB27" s="20">
        <f>SUMIF($L$4:$AA$4,"SUBTOTAL",$L$27:$AA$27)</f>
        <v>-2.283874650385068</v>
      </c>
    </row>
    <row r="28" spans="1:28" ht="11.25" customHeight="1" x14ac:dyDescent="0.3">
      <c r="A28" s="96"/>
      <c r="B28" s="96" t="s">
        <v>68</v>
      </c>
      <c r="C28" s="96" t="s">
        <v>43</v>
      </c>
      <c r="D28" s="96" t="s">
        <v>86</v>
      </c>
      <c r="E28" s="96" t="s">
        <v>25</v>
      </c>
      <c r="F28" s="96" t="s">
        <v>25</v>
      </c>
      <c r="G28" s="23" t="s">
        <v>70</v>
      </c>
      <c r="H28" s="23" t="s">
        <v>69</v>
      </c>
      <c r="I28" s="23">
        <f>'MERCADO TE'!$U$25</f>
        <v>0</v>
      </c>
      <c r="J28" s="15"/>
      <c r="L28" s="20">
        <f>'TE BE'!$L$28*'TE BE'!$L$48</f>
        <v>0</v>
      </c>
      <c r="M28" s="20">
        <f>'TE BE'!$M$28*'TE BE'!$M$48</f>
        <v>0</v>
      </c>
      <c r="N28" s="20">
        <f>'TE BE'!$N$28*'TE BE'!$N$48</f>
        <v>0</v>
      </c>
      <c r="O28" s="20">
        <f>'TE BE'!$O$28*'TE BE'!$O$48</f>
        <v>0</v>
      </c>
      <c r="P28" s="20">
        <f>'TE BE'!$P$28*'TE BE'!$P$48</f>
        <v>0</v>
      </c>
      <c r="Q28" s="20">
        <f>SUM($L$28:$P$28)</f>
        <v>0</v>
      </c>
      <c r="R28" s="20">
        <f>'TE BE'!$R$28*'TE BE'!$R$48</f>
        <v>-2.283874650385068</v>
      </c>
      <c r="S28" s="20">
        <f>SUM($R$28:$R$28)</f>
        <v>-2.283874650385068</v>
      </c>
      <c r="T28" s="20">
        <f>'TE BE'!$T$28*'TE BE'!$T$48</f>
        <v>0</v>
      </c>
      <c r="U28" s="20">
        <f>'TE BE'!$U$28*'TE BE'!$U$48</f>
        <v>0</v>
      </c>
      <c r="V28" s="20">
        <f>'TE BE'!$V$28*'TE BE'!$V$48</f>
        <v>0</v>
      </c>
      <c r="W28" s="20">
        <f>SUM($T$28:$V$28)</f>
        <v>0</v>
      </c>
      <c r="X28" s="20">
        <f>'TE BE'!$AB$28*'TE BE'!$X$48</f>
        <v>0</v>
      </c>
      <c r="Y28" s="20">
        <f>SUM($X$28:$X$28)</f>
        <v>0</v>
      </c>
      <c r="Z28" s="20">
        <f>'TE BE'!$Z$28*'TE BE'!$Z$48</f>
        <v>0</v>
      </c>
      <c r="AA28" s="20">
        <f>SUM($Z$28:$Z$28)</f>
        <v>0</v>
      </c>
      <c r="AB28" s="20">
        <f>SUMIF($L$4:$AA$4,"SUBTOTAL",$L$28:$AA$28)</f>
        <v>-2.283874650385068</v>
      </c>
    </row>
    <row r="29" spans="1:28" ht="11.25" customHeight="1" x14ac:dyDescent="0.3">
      <c r="A29" s="96"/>
      <c r="B29" s="96"/>
      <c r="C29" s="96"/>
      <c r="D29" s="96"/>
      <c r="E29" s="96"/>
      <c r="F29" s="96"/>
      <c r="G29" s="23" t="s">
        <v>81</v>
      </c>
      <c r="H29" s="23" t="s">
        <v>69</v>
      </c>
      <c r="I29" s="23">
        <f>'MERCADO TE'!$U$26</f>
        <v>0</v>
      </c>
      <c r="J29" s="15"/>
      <c r="L29" s="20">
        <f>'TE BE'!$L$29*'TE BE'!$L$48</f>
        <v>0</v>
      </c>
      <c r="M29" s="20">
        <f>'TE BE'!$M$29*'TE BE'!$M$48</f>
        <v>0</v>
      </c>
      <c r="N29" s="20">
        <f>'TE BE'!$N$29*'TE BE'!$N$48</f>
        <v>0</v>
      </c>
      <c r="O29" s="20">
        <f>'TE BE'!$O$29*'TE BE'!$O$48</f>
        <v>0</v>
      </c>
      <c r="P29" s="20">
        <f>'TE BE'!$P$29*'TE BE'!$P$48</f>
        <v>0</v>
      </c>
      <c r="Q29" s="20">
        <f>SUM($L$29:$P$29)</f>
        <v>0</v>
      </c>
      <c r="R29" s="20">
        <f>'TE BE'!$R$29*'TE BE'!$R$48</f>
        <v>-2.283874650385068</v>
      </c>
      <c r="S29" s="20">
        <f>SUM($R$29:$R$29)</f>
        <v>-2.283874650385068</v>
      </c>
      <c r="T29" s="20">
        <f>'TE BE'!$T$29*'TE BE'!$T$48</f>
        <v>0</v>
      </c>
      <c r="U29" s="20">
        <f>'TE BE'!$U$29*'TE BE'!$U$48</f>
        <v>0</v>
      </c>
      <c r="V29" s="20">
        <f>'TE BE'!$V$29*'TE BE'!$V$48</f>
        <v>0</v>
      </c>
      <c r="W29" s="20">
        <f>SUM($T$29:$V$29)</f>
        <v>0</v>
      </c>
      <c r="X29" s="20">
        <f>'TE BE'!$AB$29*'TE BE'!$X$48</f>
        <v>0</v>
      </c>
      <c r="Y29" s="20">
        <f>SUM($X$29:$X$29)</f>
        <v>0</v>
      </c>
      <c r="Z29" s="20">
        <f>'TE BE'!$Z$29*'TE BE'!$Z$48</f>
        <v>0</v>
      </c>
      <c r="AA29" s="20">
        <f>SUM($Z$29:$Z$29)</f>
        <v>0</v>
      </c>
      <c r="AB29" s="20">
        <f>SUMIF($L$4:$AA$4,"SUBTOTAL",$L$29:$AA$29)</f>
        <v>-2.283874650385068</v>
      </c>
    </row>
    <row r="30" spans="1:28" ht="11.25" customHeight="1" x14ac:dyDescent="0.3">
      <c r="A30" s="96"/>
      <c r="B30" s="96"/>
      <c r="C30" s="96"/>
      <c r="D30" s="96"/>
      <c r="E30" s="96"/>
      <c r="F30" s="96"/>
      <c r="G30" s="23" t="s">
        <v>71</v>
      </c>
      <c r="H30" s="23" t="s">
        <v>69</v>
      </c>
      <c r="I30" s="23">
        <f>'MERCADO TE'!$U$27</f>
        <v>0</v>
      </c>
      <c r="J30" s="15"/>
      <c r="L30" s="20">
        <f>'TE BE'!$L$30*'TE BE'!$L$48</f>
        <v>0</v>
      </c>
      <c r="M30" s="20">
        <f>'TE BE'!$M$30*'TE BE'!$M$48</f>
        <v>0</v>
      </c>
      <c r="N30" s="20">
        <f>'TE BE'!$N$30*'TE BE'!$N$48</f>
        <v>0</v>
      </c>
      <c r="O30" s="20">
        <f>'TE BE'!$O$30*'TE BE'!$O$48</f>
        <v>0</v>
      </c>
      <c r="P30" s="20">
        <f>'TE BE'!$P$30*'TE BE'!$P$48</f>
        <v>0</v>
      </c>
      <c r="Q30" s="20">
        <f>SUM($L$30:$P$30)</f>
        <v>0</v>
      </c>
      <c r="R30" s="20">
        <f>'TE BE'!$R$30*'TE BE'!$R$48</f>
        <v>-2.283874650385068</v>
      </c>
      <c r="S30" s="20">
        <f>SUM($R$30:$R$30)</f>
        <v>-2.283874650385068</v>
      </c>
      <c r="T30" s="20">
        <f>'TE BE'!$T$30*'TE BE'!$T$48</f>
        <v>0</v>
      </c>
      <c r="U30" s="20">
        <f>'TE BE'!$U$30*'TE BE'!$U$48</f>
        <v>0</v>
      </c>
      <c r="V30" s="20">
        <f>'TE BE'!$V$30*'TE BE'!$V$48</f>
        <v>0</v>
      </c>
      <c r="W30" s="20">
        <f>SUM($T$30:$V$30)</f>
        <v>0</v>
      </c>
      <c r="X30" s="20">
        <f>'TE BE'!$AB$30*'TE BE'!$X$48</f>
        <v>0</v>
      </c>
      <c r="Y30" s="20">
        <f>SUM($X$30:$X$30)</f>
        <v>0</v>
      </c>
      <c r="Z30" s="20">
        <f>'TE BE'!$Z$30*'TE BE'!$Z$48</f>
        <v>0</v>
      </c>
      <c r="AA30" s="20">
        <f>SUM($Z$30:$Z$30)</f>
        <v>0</v>
      </c>
      <c r="AB30" s="20">
        <f>SUMIF($L$4:$AA$4,"SUBTOTAL",$L$30:$AA$30)</f>
        <v>-2.283874650385068</v>
      </c>
    </row>
    <row r="31" spans="1:28" ht="11.25" customHeight="1" x14ac:dyDescent="0.3">
      <c r="A31" s="96"/>
      <c r="B31" s="22" t="s">
        <v>82</v>
      </c>
      <c r="C31" s="22" t="s">
        <v>43</v>
      </c>
      <c r="D31" s="22" t="s">
        <v>86</v>
      </c>
      <c r="E31" s="22" t="s">
        <v>25</v>
      </c>
      <c r="F31" s="22" t="s">
        <v>25</v>
      </c>
      <c r="G31" s="23" t="s">
        <v>75</v>
      </c>
      <c r="H31" s="23" t="s">
        <v>69</v>
      </c>
      <c r="I31" s="23">
        <f>'MERCADO TE'!$U$28</f>
        <v>0</v>
      </c>
      <c r="J31" s="15"/>
      <c r="L31" s="20">
        <f>'TE BE'!$L$31*'TE BE'!$L$48</f>
        <v>0</v>
      </c>
      <c r="M31" s="20">
        <f>'TE BE'!$M$31*'TE BE'!$M$48</f>
        <v>0</v>
      </c>
      <c r="N31" s="20">
        <f>'TE BE'!$N$31*'TE BE'!$N$48</f>
        <v>0</v>
      </c>
      <c r="O31" s="20">
        <f>'TE BE'!$O$31*'TE BE'!$O$48</f>
        <v>0</v>
      </c>
      <c r="P31" s="20">
        <f>'TE BE'!$P$31*'TE BE'!$P$48</f>
        <v>0</v>
      </c>
      <c r="Q31" s="20">
        <f>SUM($L$31:$P$31)</f>
        <v>0</v>
      </c>
      <c r="R31" s="20">
        <f>'TE BE'!$R$31*'TE BE'!$R$48</f>
        <v>-2.283874650385068</v>
      </c>
      <c r="S31" s="20">
        <f>SUM($R$31:$R$31)</f>
        <v>-2.283874650385068</v>
      </c>
      <c r="T31" s="20">
        <f>'TE BE'!$T$31*'TE BE'!$T$48</f>
        <v>0</v>
      </c>
      <c r="U31" s="20">
        <f>'TE BE'!$U$31*'TE BE'!$U$48</f>
        <v>0</v>
      </c>
      <c r="V31" s="20">
        <f>'TE BE'!$V$31*'TE BE'!$V$48</f>
        <v>0</v>
      </c>
      <c r="W31" s="20">
        <f>SUM($T$31:$V$31)</f>
        <v>0</v>
      </c>
      <c r="X31" s="20">
        <f>'TE BE'!$AB$31*'TE BE'!$X$48</f>
        <v>0</v>
      </c>
      <c r="Y31" s="20">
        <f>SUM($X$31:$X$31)</f>
        <v>0</v>
      </c>
      <c r="Z31" s="20">
        <f>'TE BE'!$Z$31*'TE BE'!$Z$48</f>
        <v>0</v>
      </c>
      <c r="AA31" s="20">
        <f>SUM($Z$31:$Z$31)</f>
        <v>0</v>
      </c>
      <c r="AB31" s="20">
        <f>SUMIF($L$4:$AA$4,"SUBTOTAL",$L$31:$AA$31)</f>
        <v>-2.283874650385068</v>
      </c>
    </row>
    <row r="32" spans="1:28" ht="11.25" customHeight="1" x14ac:dyDescent="0.3">
      <c r="A32" s="96"/>
      <c r="B32" s="96" t="s">
        <v>83</v>
      </c>
      <c r="C32" s="96" t="s">
        <v>43</v>
      </c>
      <c r="D32" s="22" t="s">
        <v>25</v>
      </c>
      <c r="E32" s="22" t="s">
        <v>25</v>
      </c>
      <c r="F32" s="22" t="s">
        <v>25</v>
      </c>
      <c r="G32" s="23" t="s">
        <v>75</v>
      </c>
      <c r="H32" s="23" t="s">
        <v>69</v>
      </c>
      <c r="I32" s="23">
        <f>'MERCADO TE'!$U$29</f>
        <v>0</v>
      </c>
      <c r="J32" s="15"/>
      <c r="L32" s="20">
        <f>'TE BE'!$L$32*'TE BE'!$L$48</f>
        <v>0</v>
      </c>
      <c r="M32" s="20">
        <f>'TE BE'!$M$32*'TE BE'!$M$48</f>
        <v>0</v>
      </c>
      <c r="N32" s="20">
        <f>'TE BE'!$N$32*'TE BE'!$N$48</f>
        <v>0</v>
      </c>
      <c r="O32" s="20">
        <f>'TE BE'!$O$32*'TE BE'!$O$48</f>
        <v>0</v>
      </c>
      <c r="P32" s="20">
        <f>'TE BE'!$P$32*'TE BE'!$P$48</f>
        <v>0</v>
      </c>
      <c r="Q32" s="20">
        <f>SUM($L$32:$P$32)</f>
        <v>0</v>
      </c>
      <c r="R32" s="20">
        <f>'TE BE'!$R$32*'TE BE'!$R$48</f>
        <v>-2.283874650385068</v>
      </c>
      <c r="S32" s="20">
        <f>SUM($R$32:$R$32)</f>
        <v>-2.283874650385068</v>
      </c>
      <c r="T32" s="20">
        <f>'TE BE'!$T$32*'TE BE'!$T$48</f>
        <v>0</v>
      </c>
      <c r="U32" s="20">
        <f>'TE BE'!$U$32*'TE BE'!$U$48</f>
        <v>0</v>
      </c>
      <c r="V32" s="20">
        <f>'TE BE'!$V$32*'TE BE'!$V$48</f>
        <v>0</v>
      </c>
      <c r="W32" s="20">
        <f>SUM($T$32:$V$32)</f>
        <v>0</v>
      </c>
      <c r="X32" s="20">
        <f>'TE BE'!$AB$32*'TE BE'!$X$48</f>
        <v>0</v>
      </c>
      <c r="Y32" s="20">
        <f>SUM($X$32:$X$32)</f>
        <v>0</v>
      </c>
      <c r="Z32" s="20">
        <f>'TE BE'!$Z$32*'TE BE'!$Z$48</f>
        <v>0</v>
      </c>
      <c r="AA32" s="20">
        <f>SUM($Z$32:$Z$32)</f>
        <v>0</v>
      </c>
      <c r="AB32" s="20">
        <f>SUMIF($L$4:$AA$4,"SUBTOTAL",$L$32:$AA$32)</f>
        <v>-2.283874650385068</v>
      </c>
    </row>
    <row r="33" spans="1:28" ht="11.25" customHeight="1" x14ac:dyDescent="0.3">
      <c r="A33" s="96"/>
      <c r="B33" s="96"/>
      <c r="C33" s="96"/>
      <c r="D33" s="22" t="s">
        <v>85</v>
      </c>
      <c r="E33" s="22" t="s">
        <v>25</v>
      </c>
      <c r="F33" s="22" t="s">
        <v>25</v>
      </c>
      <c r="G33" s="23" t="s">
        <v>75</v>
      </c>
      <c r="H33" s="23" t="s">
        <v>69</v>
      </c>
      <c r="I33" s="23">
        <f>'MERCADO TE'!$U$30</f>
        <v>0</v>
      </c>
      <c r="J33" s="15"/>
      <c r="L33" s="20">
        <f>'TE BE'!$L$33*'TE BE'!$L$48</f>
        <v>0</v>
      </c>
      <c r="M33" s="20">
        <f>'TE BE'!$M$33*'TE BE'!$M$48</f>
        <v>0</v>
      </c>
      <c r="N33" s="20">
        <f>'TE BE'!$N$33*'TE BE'!$N$48</f>
        <v>0</v>
      </c>
      <c r="O33" s="20">
        <f>'TE BE'!$O$33*'TE BE'!$O$48</f>
        <v>0</v>
      </c>
      <c r="P33" s="20">
        <f>'TE BE'!$P$33*'TE BE'!$P$48</f>
        <v>0</v>
      </c>
      <c r="Q33" s="20">
        <f>SUM($L$33:$P$33)</f>
        <v>0</v>
      </c>
      <c r="R33" s="20">
        <f>'TE BE'!$R$33*'TE BE'!$R$48</f>
        <v>-2.283874650385068</v>
      </c>
      <c r="S33" s="20">
        <f>SUM($R$33:$R$33)</f>
        <v>-2.283874650385068</v>
      </c>
      <c r="T33" s="20">
        <f>'TE BE'!$T$33*'TE BE'!$T$48</f>
        <v>0</v>
      </c>
      <c r="U33" s="20">
        <f>'TE BE'!$U$33*'TE BE'!$U$48</f>
        <v>0</v>
      </c>
      <c r="V33" s="20">
        <f>'TE BE'!$V$33*'TE BE'!$V$48</f>
        <v>0</v>
      </c>
      <c r="W33" s="20">
        <f>SUM($T$33:$V$33)</f>
        <v>0</v>
      </c>
      <c r="X33" s="20">
        <f>'TE BE'!$AB$33*'TE BE'!$X$48</f>
        <v>0</v>
      </c>
      <c r="Y33" s="20">
        <f>SUM($X$33:$X$33)</f>
        <v>0</v>
      </c>
      <c r="Z33" s="20">
        <f>'TE BE'!$Z$33*'TE BE'!$Z$48</f>
        <v>0</v>
      </c>
      <c r="AA33" s="20">
        <f>SUM($Z$33:$Z$33)</f>
        <v>0</v>
      </c>
      <c r="AB33" s="20">
        <f>SUMIF($L$4:$AA$4,"SUBTOTAL",$L$33:$AA$33)</f>
        <v>-2.283874650385068</v>
      </c>
    </row>
    <row r="34" spans="1:28" ht="11.25" customHeight="1" x14ac:dyDescent="0.3">
      <c r="A34" s="96"/>
      <c r="B34" s="96"/>
      <c r="C34" s="96"/>
      <c r="D34" s="22" t="s">
        <v>86</v>
      </c>
      <c r="E34" s="22" t="s">
        <v>25</v>
      </c>
      <c r="F34" s="22" t="s">
        <v>25</v>
      </c>
      <c r="G34" s="23" t="s">
        <v>75</v>
      </c>
      <c r="H34" s="23" t="s">
        <v>69</v>
      </c>
      <c r="I34" s="23">
        <f>'MERCADO TE'!$U$31</f>
        <v>0</v>
      </c>
      <c r="J34" s="15"/>
      <c r="L34" s="20">
        <f>'TE BE'!$L$34*'TE BE'!$L$48</f>
        <v>0</v>
      </c>
      <c r="M34" s="20">
        <f>'TE BE'!$M$34*'TE BE'!$M$48</f>
        <v>0</v>
      </c>
      <c r="N34" s="20">
        <f>'TE BE'!$N$34*'TE BE'!$N$48</f>
        <v>0</v>
      </c>
      <c r="O34" s="20">
        <f>'TE BE'!$O$34*'TE BE'!$O$48</f>
        <v>0</v>
      </c>
      <c r="P34" s="20">
        <f>'TE BE'!$P$34*'TE BE'!$P$48</f>
        <v>0</v>
      </c>
      <c r="Q34" s="20">
        <f>SUM($L$34:$P$34)</f>
        <v>0</v>
      </c>
      <c r="R34" s="20">
        <f>'TE BE'!$R$34*'TE BE'!$R$48</f>
        <v>-2.283874650385068</v>
      </c>
      <c r="S34" s="20">
        <f>SUM($R$34:$R$34)</f>
        <v>-2.283874650385068</v>
      </c>
      <c r="T34" s="20">
        <f>'TE BE'!$T$34*'TE BE'!$T$48</f>
        <v>0</v>
      </c>
      <c r="U34" s="20">
        <f>'TE BE'!$U$34*'TE BE'!$U$48</f>
        <v>0</v>
      </c>
      <c r="V34" s="20">
        <f>'TE BE'!$V$34*'TE BE'!$V$48</f>
        <v>0</v>
      </c>
      <c r="W34" s="20">
        <f>SUM($T$34:$V$34)</f>
        <v>0</v>
      </c>
      <c r="X34" s="20">
        <f>'TE BE'!$AB$34*'TE BE'!$X$48</f>
        <v>0</v>
      </c>
      <c r="Y34" s="20">
        <f>SUM($X$34:$X$34)</f>
        <v>0</v>
      </c>
      <c r="Z34" s="20">
        <f>'TE BE'!$Z$34*'TE BE'!$Z$48</f>
        <v>0</v>
      </c>
      <c r="AA34" s="20">
        <f>SUM($Z$34:$Z$34)</f>
        <v>0</v>
      </c>
      <c r="AB34" s="20">
        <f>SUMIF($L$4:$AA$4,"SUBTOTAL",$L$34:$AA$34)</f>
        <v>-2.283874650385068</v>
      </c>
    </row>
    <row r="35" spans="1:28" ht="11.25" customHeight="1" x14ac:dyDescent="0.3">
      <c r="A35" s="96" t="s">
        <v>33</v>
      </c>
      <c r="B35" s="96" t="s">
        <v>68</v>
      </c>
      <c r="C35" s="96" t="s">
        <v>25</v>
      </c>
      <c r="D35" s="96" t="s">
        <v>25</v>
      </c>
      <c r="E35" s="96" t="s">
        <v>25</v>
      </c>
      <c r="F35" s="96" t="s">
        <v>25</v>
      </c>
      <c r="G35" s="23" t="s">
        <v>70</v>
      </c>
      <c r="H35" s="23" t="s">
        <v>69</v>
      </c>
      <c r="I35" s="23">
        <f>'MERCADO TE'!$U$32</f>
        <v>1.0529999999999999</v>
      </c>
      <c r="J35" s="15"/>
      <c r="L35" s="20">
        <f>'TE BE'!$L$35*'TE BE'!$L$48</f>
        <v>0</v>
      </c>
      <c r="M35" s="20">
        <f>'TE BE'!$M$35*'TE BE'!$M$48</f>
        <v>0</v>
      </c>
      <c r="N35" s="20">
        <f>'TE BE'!$N$35*'TE BE'!$N$48</f>
        <v>0</v>
      </c>
      <c r="O35" s="20">
        <f>'TE BE'!$O$35*'TE BE'!$O$48</f>
        <v>0</v>
      </c>
      <c r="P35" s="20">
        <f>'TE BE'!$P$35*'TE BE'!$P$48</f>
        <v>0</v>
      </c>
      <c r="Q35" s="20">
        <f>SUM($L$35:$P$35)</f>
        <v>0</v>
      </c>
      <c r="R35" s="20">
        <f>'TE BE'!$R$35*'TE BE'!$R$48</f>
        <v>-2.283874650385068</v>
      </c>
      <c r="S35" s="20">
        <f>SUM($R$35:$R$35)</f>
        <v>-2.283874650385068</v>
      </c>
      <c r="T35" s="20">
        <f>'TE BE'!$T$35*'TE BE'!$T$48</f>
        <v>0</v>
      </c>
      <c r="U35" s="20">
        <f>'TE BE'!$U$35*'TE BE'!$U$48</f>
        <v>0</v>
      </c>
      <c r="V35" s="20">
        <f>'TE BE'!$V$35*'TE BE'!$V$48</f>
        <v>0</v>
      </c>
      <c r="W35" s="20">
        <f>SUM($T$35:$V$35)</f>
        <v>0</v>
      </c>
      <c r="X35" s="20">
        <f>'TE BE'!$AB$35*'TE BE'!$X$48</f>
        <v>0</v>
      </c>
      <c r="Y35" s="20">
        <f>SUM($X$35:$X$35)</f>
        <v>0</v>
      </c>
      <c r="Z35" s="20">
        <f>'TE BE'!$Z$35*'TE BE'!$Z$48</f>
        <v>0</v>
      </c>
      <c r="AA35" s="20">
        <f>SUM($Z$35:$Z$35)</f>
        <v>0</v>
      </c>
      <c r="AB35" s="20">
        <f>SUMIF($L$4:$AA$4,"SUBTOTAL",$L$35:$AA$35)</f>
        <v>-2.283874650385068</v>
      </c>
    </row>
    <row r="36" spans="1:28" ht="11.25" customHeight="1" x14ac:dyDescent="0.3">
      <c r="A36" s="96"/>
      <c r="B36" s="96"/>
      <c r="C36" s="96"/>
      <c r="D36" s="96"/>
      <c r="E36" s="96"/>
      <c r="F36" s="96"/>
      <c r="G36" s="23" t="s">
        <v>81</v>
      </c>
      <c r="H36" s="23" t="s">
        <v>69</v>
      </c>
      <c r="I36" s="23">
        <f>'MERCADO TE'!$U$33</f>
        <v>2.1969999999999996</v>
      </c>
      <c r="J36" s="15"/>
      <c r="L36" s="20">
        <f>'TE BE'!$L$36*'TE BE'!$L$48</f>
        <v>0</v>
      </c>
      <c r="M36" s="20">
        <f>'TE BE'!$M$36*'TE BE'!$M$48</f>
        <v>0</v>
      </c>
      <c r="N36" s="20">
        <f>'TE BE'!$N$36*'TE BE'!$N$48</f>
        <v>0</v>
      </c>
      <c r="O36" s="20">
        <f>'TE BE'!$O$36*'TE BE'!$O$48</f>
        <v>0</v>
      </c>
      <c r="P36" s="20">
        <f>'TE BE'!$P$36*'TE BE'!$P$48</f>
        <v>0</v>
      </c>
      <c r="Q36" s="20">
        <f>SUM($L$36:$P$36)</f>
        <v>0</v>
      </c>
      <c r="R36" s="20">
        <f>'TE BE'!$R$36*'TE BE'!$R$48</f>
        <v>-2.283874650385068</v>
      </c>
      <c r="S36" s="20">
        <f>SUM($R$36:$R$36)</f>
        <v>-2.283874650385068</v>
      </c>
      <c r="T36" s="20">
        <f>'TE BE'!$T$36*'TE BE'!$T$48</f>
        <v>0</v>
      </c>
      <c r="U36" s="20">
        <f>'TE BE'!$U$36*'TE BE'!$U$48</f>
        <v>0</v>
      </c>
      <c r="V36" s="20">
        <f>'TE BE'!$V$36*'TE BE'!$V$48</f>
        <v>0</v>
      </c>
      <c r="W36" s="20">
        <f>SUM($T$36:$V$36)</f>
        <v>0</v>
      </c>
      <c r="X36" s="20">
        <f>'TE BE'!$AB$36*'TE BE'!$X$48</f>
        <v>0</v>
      </c>
      <c r="Y36" s="20">
        <f>SUM($X$36:$X$36)</f>
        <v>0</v>
      </c>
      <c r="Z36" s="20">
        <f>'TE BE'!$Z$36*'TE BE'!$Z$48</f>
        <v>0</v>
      </c>
      <c r="AA36" s="20">
        <f>SUM($Z$36:$Z$36)</f>
        <v>0</v>
      </c>
      <c r="AB36" s="20">
        <f>SUMIF($L$4:$AA$4,"SUBTOTAL",$L$36:$AA$36)</f>
        <v>-2.283874650385068</v>
      </c>
    </row>
    <row r="37" spans="1:28" ht="11.25" customHeight="1" x14ac:dyDescent="0.3">
      <c r="A37" s="96"/>
      <c r="B37" s="96"/>
      <c r="C37" s="96"/>
      <c r="D37" s="96"/>
      <c r="E37" s="96"/>
      <c r="F37" s="96"/>
      <c r="G37" s="23" t="s">
        <v>71</v>
      </c>
      <c r="H37" s="23" t="s">
        <v>69</v>
      </c>
      <c r="I37" s="23">
        <f>'MERCADO TE'!$U$34</f>
        <v>373.07</v>
      </c>
      <c r="J37" s="15"/>
      <c r="L37" s="20">
        <f>'TE BE'!$L$37*'TE BE'!$L$48</f>
        <v>0</v>
      </c>
      <c r="M37" s="20">
        <f>'TE BE'!$M$37*'TE BE'!$M$48</f>
        <v>0</v>
      </c>
      <c r="N37" s="20">
        <f>'TE BE'!$N$37*'TE BE'!$N$48</f>
        <v>0</v>
      </c>
      <c r="O37" s="20">
        <f>'TE BE'!$O$37*'TE BE'!$O$48</f>
        <v>0</v>
      </c>
      <c r="P37" s="20">
        <f>'TE BE'!$P$37*'TE BE'!$P$48</f>
        <v>0</v>
      </c>
      <c r="Q37" s="20">
        <f>SUM($L$37:$P$37)</f>
        <v>0</v>
      </c>
      <c r="R37" s="20">
        <f>'TE BE'!$R$37*'TE BE'!$R$48</f>
        <v>-2.283874650385068</v>
      </c>
      <c r="S37" s="20">
        <f>SUM($R$37:$R$37)</f>
        <v>-2.283874650385068</v>
      </c>
      <c r="T37" s="20">
        <f>'TE BE'!$T$37*'TE BE'!$T$48</f>
        <v>0</v>
      </c>
      <c r="U37" s="20">
        <f>'TE BE'!$U$37*'TE BE'!$U$48</f>
        <v>0</v>
      </c>
      <c r="V37" s="20">
        <f>'TE BE'!$V$37*'TE BE'!$V$48</f>
        <v>0</v>
      </c>
      <c r="W37" s="20">
        <f>SUM($T$37:$V$37)</f>
        <v>0</v>
      </c>
      <c r="X37" s="20">
        <f>'TE BE'!$AB$37*'TE BE'!$X$48</f>
        <v>0</v>
      </c>
      <c r="Y37" s="20">
        <f>SUM($X$37:$X$37)</f>
        <v>0</v>
      </c>
      <c r="Z37" s="20">
        <f>'TE BE'!$Z$37*'TE BE'!$Z$48</f>
        <v>0</v>
      </c>
      <c r="AA37" s="20">
        <f>SUM($Z$37:$Z$37)</f>
        <v>0</v>
      </c>
      <c r="AB37" s="20">
        <f>SUMIF($L$4:$AA$4,"SUBTOTAL",$L$37:$AA$37)</f>
        <v>-2.283874650385068</v>
      </c>
    </row>
    <row r="38" spans="1:28" ht="11.25" customHeight="1" x14ac:dyDescent="0.3">
      <c r="A38" s="96"/>
      <c r="B38" s="22" t="s">
        <v>82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75</v>
      </c>
      <c r="H38" s="23" t="s">
        <v>69</v>
      </c>
      <c r="I38" s="23">
        <f>'MERCADO TE'!$U$35</f>
        <v>3199.5530000000003</v>
      </c>
      <c r="J38" s="15"/>
      <c r="L38" s="20">
        <f>'TE BE'!$L$38*'TE BE'!$L$48</f>
        <v>0</v>
      </c>
      <c r="M38" s="20">
        <f>'TE BE'!$M$38*'TE BE'!$M$48</f>
        <v>0</v>
      </c>
      <c r="N38" s="20">
        <f>'TE BE'!$N$38*'TE BE'!$N$48</f>
        <v>0</v>
      </c>
      <c r="O38" s="20">
        <f>'TE BE'!$O$38*'TE BE'!$O$48</f>
        <v>0</v>
      </c>
      <c r="P38" s="20">
        <f>'TE BE'!$P$38*'TE BE'!$P$48</f>
        <v>0</v>
      </c>
      <c r="Q38" s="20">
        <f>SUM($L$38:$P$38)</f>
        <v>0</v>
      </c>
      <c r="R38" s="20">
        <f>'TE BE'!$R$38*'TE BE'!$R$48</f>
        <v>-2.283874650385068</v>
      </c>
      <c r="S38" s="20">
        <f>SUM($R$38:$R$38)</f>
        <v>-2.283874650385068</v>
      </c>
      <c r="T38" s="20">
        <f>'TE BE'!$T$38*'TE BE'!$T$48</f>
        <v>0</v>
      </c>
      <c r="U38" s="20">
        <f>'TE BE'!$U$38*'TE BE'!$U$48</f>
        <v>0</v>
      </c>
      <c r="V38" s="20">
        <f>'TE BE'!$V$38*'TE BE'!$V$48</f>
        <v>0</v>
      </c>
      <c r="W38" s="20">
        <f>SUM($T$38:$V$38)</f>
        <v>0</v>
      </c>
      <c r="X38" s="20">
        <f>'TE BE'!$AB$38*'TE BE'!$X$48</f>
        <v>0</v>
      </c>
      <c r="Y38" s="20">
        <f>SUM($X$38:$X$38)</f>
        <v>0</v>
      </c>
      <c r="Z38" s="20">
        <f>'TE BE'!$Z$38*'TE BE'!$Z$48</f>
        <v>0</v>
      </c>
      <c r="AA38" s="20">
        <f>SUM($Z$38:$Z$38)</f>
        <v>0</v>
      </c>
      <c r="AB38" s="20">
        <f>SUMIF($L$4:$AA$4,"SUBTOTAL",$L$38:$AA$38)</f>
        <v>-2.283874650385068</v>
      </c>
    </row>
    <row r="39" spans="1:28" ht="11.25" customHeight="1" x14ac:dyDescent="0.3">
      <c r="A39" s="96"/>
      <c r="B39" s="22" t="s">
        <v>83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75</v>
      </c>
      <c r="H39" s="23" t="s">
        <v>69</v>
      </c>
      <c r="I39" s="23">
        <f>'MERCADO TE'!$U$36</f>
        <v>0</v>
      </c>
      <c r="J39" s="15"/>
      <c r="L39" s="20">
        <f>'TE BE'!$L$39*'TE BE'!$L$48</f>
        <v>0</v>
      </c>
      <c r="M39" s="20">
        <f>'TE BE'!$M$39*'TE BE'!$M$48</f>
        <v>0</v>
      </c>
      <c r="N39" s="20">
        <f>'TE BE'!$N$39*'TE BE'!$N$48</f>
        <v>0</v>
      </c>
      <c r="O39" s="20">
        <f>'TE BE'!$O$39*'TE BE'!$O$48</f>
        <v>0</v>
      </c>
      <c r="P39" s="20">
        <f>'TE BE'!$P$39*'TE BE'!$P$48</f>
        <v>0</v>
      </c>
      <c r="Q39" s="20">
        <f>SUM($L$39:$P$39)</f>
        <v>0</v>
      </c>
      <c r="R39" s="20">
        <f>'TE BE'!$R$39*'TE BE'!$R$48</f>
        <v>-2.283874650385068</v>
      </c>
      <c r="S39" s="20">
        <f>SUM($R$39:$R$39)</f>
        <v>-2.283874650385068</v>
      </c>
      <c r="T39" s="20">
        <f>'TE BE'!$T$39*'TE BE'!$T$48</f>
        <v>0</v>
      </c>
      <c r="U39" s="20">
        <f>'TE BE'!$U$39*'TE BE'!$U$48</f>
        <v>0</v>
      </c>
      <c r="V39" s="20">
        <f>'TE BE'!$V$39*'TE BE'!$V$48</f>
        <v>0</v>
      </c>
      <c r="W39" s="20">
        <f>SUM($T$39:$V$39)</f>
        <v>0</v>
      </c>
      <c r="X39" s="20">
        <f>'TE BE'!$AB$39*'TE BE'!$X$48</f>
        <v>0</v>
      </c>
      <c r="Y39" s="20">
        <f>SUM($X$39:$X$39)</f>
        <v>0</v>
      </c>
      <c r="Z39" s="20">
        <f>'TE BE'!$Z$39*'TE BE'!$Z$48</f>
        <v>0</v>
      </c>
      <c r="AA39" s="20">
        <f>SUM($Z$39:$Z$39)</f>
        <v>0</v>
      </c>
      <c r="AB39" s="20">
        <f>SUMIF($L$4:$AA$4,"SUBTOTAL",$L$39:$AA$39)</f>
        <v>-2.283874650385068</v>
      </c>
    </row>
    <row r="40" spans="1:28" ht="11.25" customHeight="1" x14ac:dyDescent="0.3">
      <c r="A40" s="96" t="s">
        <v>45</v>
      </c>
      <c r="B40" s="96" t="s">
        <v>82</v>
      </c>
      <c r="C40" s="96" t="s">
        <v>46</v>
      </c>
      <c r="D40" s="22" t="s">
        <v>47</v>
      </c>
      <c r="E40" s="22" t="s">
        <v>25</v>
      </c>
      <c r="F40" s="22" t="s">
        <v>25</v>
      </c>
      <c r="G40" s="23" t="s">
        <v>75</v>
      </c>
      <c r="H40" s="23" t="s">
        <v>69</v>
      </c>
      <c r="I40" s="23">
        <f>'MERCADO TE'!$U$37</f>
        <v>1010.7439999999999</v>
      </c>
      <c r="J40" s="15"/>
      <c r="L40" s="20">
        <f>'TE BE'!$L$40*'TE BE'!$L$48</f>
        <v>0</v>
      </c>
      <c r="M40" s="20">
        <f>'TE BE'!$M$40*'TE BE'!$M$48</f>
        <v>0</v>
      </c>
      <c r="N40" s="20">
        <f>'TE BE'!$N$40*'TE BE'!$N$48</f>
        <v>0</v>
      </c>
      <c r="O40" s="20">
        <f>'TE BE'!$O$40*'TE BE'!$O$48</f>
        <v>0</v>
      </c>
      <c r="P40" s="20">
        <f>'TE BE'!$P$40*'TE BE'!$P$48</f>
        <v>0</v>
      </c>
      <c r="Q40" s="20">
        <f>SUM($L$40:$P$40)</f>
        <v>0</v>
      </c>
      <c r="R40" s="20">
        <f>'TE BE'!$R$40*'TE BE'!$R$48</f>
        <v>-1.2561310577117875</v>
      </c>
      <c r="S40" s="20">
        <f>SUM($R$40:$R$40)</f>
        <v>-1.2561310577117875</v>
      </c>
      <c r="T40" s="20">
        <f>'TE BE'!$T$40*'TE BE'!$T$48</f>
        <v>0</v>
      </c>
      <c r="U40" s="20">
        <f>'TE BE'!$U$40*'TE BE'!$U$48</f>
        <v>0</v>
      </c>
      <c r="V40" s="20">
        <f>'TE BE'!$V$40*'TE BE'!$V$48</f>
        <v>0</v>
      </c>
      <c r="W40" s="20">
        <f>SUM($T$40:$V$40)</f>
        <v>0</v>
      </c>
      <c r="X40" s="20">
        <f>'TE BE'!$AB$40*'TE BE'!$X$48</f>
        <v>0</v>
      </c>
      <c r="Y40" s="20">
        <f>SUM($X$40:$X$40)</f>
        <v>0</v>
      </c>
      <c r="Z40" s="20">
        <f>'TE BE'!$Z$40*'TE BE'!$Z$48</f>
        <v>0</v>
      </c>
      <c r="AA40" s="20">
        <f>SUM($Z$40:$Z$40)</f>
        <v>0</v>
      </c>
      <c r="AB40" s="20">
        <f>SUMIF($L$4:$AA$4,"SUBTOTAL",$L$40:$AA$40)</f>
        <v>-1.2561310577117875</v>
      </c>
    </row>
    <row r="41" spans="1:28" ht="11.25" customHeight="1" x14ac:dyDescent="0.3">
      <c r="A41" s="96"/>
      <c r="B41" s="96"/>
      <c r="C41" s="96"/>
      <c r="D41" s="23" t="s">
        <v>87</v>
      </c>
      <c r="E41" s="23" t="s">
        <v>25</v>
      </c>
      <c r="F41" s="23" t="s">
        <v>25</v>
      </c>
      <c r="G41" s="23" t="s">
        <v>75</v>
      </c>
      <c r="H41" s="23" t="s">
        <v>69</v>
      </c>
      <c r="I41" s="23">
        <f>'MERCADO TE'!$U$38</f>
        <v>0</v>
      </c>
      <c r="J41" s="15"/>
      <c r="L41" s="20">
        <f>'TE BE'!$L$41*'TE BE'!$L$48</f>
        <v>0</v>
      </c>
      <c r="M41" s="20">
        <f>'TE BE'!$M$41*'TE BE'!$M$48</f>
        <v>0</v>
      </c>
      <c r="N41" s="20">
        <f>'TE BE'!$N$41*'TE BE'!$N$48</f>
        <v>0</v>
      </c>
      <c r="O41" s="20">
        <f>'TE BE'!$O$41*'TE BE'!$O$48</f>
        <v>0</v>
      </c>
      <c r="P41" s="20">
        <f>'TE BE'!$P$41*'TE BE'!$P$48</f>
        <v>0</v>
      </c>
      <c r="Q41" s="20">
        <f>SUM($L$41:$P$41)</f>
        <v>0</v>
      </c>
      <c r="R41" s="20">
        <f>'TE BE'!$R$41*'TE BE'!$R$48</f>
        <v>-1.3703247902310407</v>
      </c>
      <c r="S41" s="20">
        <f>SUM($R$41:$R$41)</f>
        <v>-1.3703247902310407</v>
      </c>
      <c r="T41" s="20">
        <f>'TE BE'!$T$41*'TE BE'!$T$48</f>
        <v>0</v>
      </c>
      <c r="U41" s="20">
        <f>'TE BE'!$U$41*'TE BE'!$U$48</f>
        <v>0</v>
      </c>
      <c r="V41" s="20">
        <f>'TE BE'!$V$41*'TE BE'!$V$48</f>
        <v>0</v>
      </c>
      <c r="W41" s="20">
        <f>SUM($T$41:$V$41)</f>
        <v>0</v>
      </c>
      <c r="X41" s="20">
        <f>'TE BE'!$AB$41*'TE BE'!$X$48</f>
        <v>0</v>
      </c>
      <c r="Y41" s="20">
        <f>SUM($X$41:$X$41)</f>
        <v>0</v>
      </c>
      <c r="Z41" s="20">
        <f>'TE BE'!$Z$41*'TE BE'!$Z$48</f>
        <v>0</v>
      </c>
      <c r="AA41" s="20">
        <f>SUM($Z$41:$Z$41)</f>
        <v>0</v>
      </c>
      <c r="AB41" s="20">
        <f>SUMIF($L$4:$AA$4,"SUBTOTAL",$L$41:$AA$41)</f>
        <v>-1.3703247902310407</v>
      </c>
    </row>
    <row r="43" spans="1:28" ht="11.25" customHeight="1" x14ac:dyDescent="0.3">
      <c r="K43" s="25" t="s">
        <v>546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-101323.58544931214</v>
      </c>
      <c r="S43" s="20">
        <f t="shared" si="0"/>
        <v>-101323.58544931214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-101323.58544931214</v>
      </c>
    </row>
    <row r="44" spans="1:28" ht="11.25" customHeight="1" x14ac:dyDescent="0.3">
      <c r="K44" s="25" t="s">
        <v>465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5539840.7838546168</v>
      </c>
      <c r="S44" s="20">
        <f>CUSTOS!$D$37</f>
        <v>5539840.7838546168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5539840.7838546168</v>
      </c>
    </row>
    <row r="45" spans="1:28" ht="11.25" customHeight="1" x14ac:dyDescent="0.3">
      <c r="K45" s="25" t="s">
        <v>466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-101323.58544931212</v>
      </c>
      <c r="S45" s="20">
        <f>CUSTOS!$E$37</f>
        <v>-101323.58544931212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-101323.58544931212</v>
      </c>
    </row>
    <row r="46" spans="1:28" ht="11.25" customHeight="1" x14ac:dyDescent="0.3">
      <c r="K46" s="25" t="s">
        <v>467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3">
      <c r="K47" s="25" t="s">
        <v>547</v>
      </c>
      <c r="L47" s="20">
        <f>'TR TE'!$L$47*L48</f>
        <v>0</v>
      </c>
      <c r="M47" s="20">
        <f>'TR TE'!$M$47*M48</f>
        <v>0</v>
      </c>
      <c r="N47" s="20">
        <f>'TR TE'!$N$47*N48</f>
        <v>0</v>
      </c>
      <c r="O47" s="20">
        <f>'TR TE'!$O$47*O48</f>
        <v>0</v>
      </c>
      <c r="P47" s="20">
        <f>'TR TE'!$P$47*P48</f>
        <v>0</v>
      </c>
      <c r="Q47" s="20"/>
      <c r="R47" s="20">
        <f>'TR TE'!$R$47*R48</f>
        <v>0</v>
      </c>
      <c r="S47" s="20"/>
      <c r="T47" s="20">
        <f>'TR TE'!$T$47*T48</f>
        <v>0</v>
      </c>
      <c r="U47" s="20">
        <f>'TR TE'!$U$47*U48</f>
        <v>0</v>
      </c>
      <c r="V47" s="20">
        <f>'TR TE'!$V$47*V48</f>
        <v>0</v>
      </c>
      <c r="W47" s="20"/>
      <c r="X47" s="20"/>
      <c r="Y47" s="20"/>
      <c r="Z47" s="20">
        <f>'TR TE'!$Z$47*Z48</f>
        <v>0</v>
      </c>
      <c r="AA47" s="20"/>
      <c r="AB47" s="20"/>
    </row>
    <row r="48" spans="1:28" ht="11.25" customHeight="1" x14ac:dyDescent="0.3">
      <c r="K48" s="25" t="s">
        <v>542</v>
      </c>
      <c r="L48" s="20">
        <f>IF(L44&lt;&gt;0,L46/L44,0)</f>
        <v>0</v>
      </c>
      <c r="M48" s="20">
        <f>IF(M44&lt;&gt;0,M46/M44,0)</f>
        <v>0</v>
      </c>
      <c r="N48" s="20">
        <f>IF(N44&lt;&gt;0,N46/N44,0)</f>
        <v>0</v>
      </c>
      <c r="O48" s="20">
        <f>IF(O44&lt;&gt;0,O46/O44,0)</f>
        <v>0</v>
      </c>
      <c r="P48" s="20">
        <f>IF(P44&lt;&gt;0,P46/P44,0)</f>
        <v>0</v>
      </c>
      <c r="Q48" s="20"/>
      <c r="R48" s="20">
        <f>IF(R44&lt;&gt;0,R46/R44,0)</f>
        <v>0</v>
      </c>
      <c r="S48" s="20"/>
      <c r="T48" s="20">
        <f>IF(T44&lt;&gt;0,T46/T44,0)</f>
        <v>0</v>
      </c>
      <c r="U48" s="20">
        <f>IF(U44&lt;&gt;0,U46/U44,0)</f>
        <v>0</v>
      </c>
      <c r="V48" s="20">
        <f>IF(V44&lt;&gt;0,V46/V44,0)</f>
        <v>0</v>
      </c>
      <c r="W48" s="20"/>
      <c r="X48" s="20">
        <f>IF($AB44&lt;&gt;0,X46/($AB44-SUM('TR TE'!$L47:'TR TE'!$AA47)*0),0)</f>
        <v>0</v>
      </c>
      <c r="Y48" s="20"/>
      <c r="Z48" s="20">
        <f>IF(Z44&lt;&gt;0,Z46/Z44,0)</f>
        <v>0</v>
      </c>
      <c r="AA48" s="20"/>
      <c r="AB48" s="20"/>
    </row>
    <row r="49" spans="11:28" ht="11.25" customHeight="1" x14ac:dyDescent="0.3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656" priority="33" operator="notEqual">
      <formula>$L$45</formula>
    </cfRule>
    <cfRule type="cellIs" dxfId="655" priority="34" operator="equal">
      <formula>$L$45</formula>
    </cfRule>
  </conditionalFormatting>
  <conditionalFormatting sqref="M43">
    <cfRule type="cellIs" dxfId="654" priority="31" operator="notEqual">
      <formula>$M$45</formula>
    </cfRule>
    <cfRule type="cellIs" dxfId="653" priority="32" operator="equal">
      <formula>$M$45</formula>
    </cfRule>
  </conditionalFormatting>
  <conditionalFormatting sqref="N43">
    <cfRule type="cellIs" dxfId="652" priority="29" operator="notEqual">
      <formula>$N$45</formula>
    </cfRule>
    <cfRule type="cellIs" dxfId="651" priority="30" operator="equal">
      <formula>$N$45</formula>
    </cfRule>
  </conditionalFormatting>
  <conditionalFormatting sqref="O43">
    <cfRule type="cellIs" dxfId="650" priority="27" operator="notEqual">
      <formula>$O$45</formula>
    </cfRule>
    <cfRule type="cellIs" dxfId="649" priority="28" operator="equal">
      <formula>$O$45</formula>
    </cfRule>
  </conditionalFormatting>
  <conditionalFormatting sqref="P43">
    <cfRule type="cellIs" dxfId="648" priority="25" operator="notEqual">
      <formula>$P$45</formula>
    </cfRule>
    <cfRule type="cellIs" dxfId="647" priority="26" operator="equal">
      <formula>$P$45</formula>
    </cfRule>
  </conditionalFormatting>
  <conditionalFormatting sqref="Q43">
    <cfRule type="cellIs" dxfId="646" priority="23" operator="notEqual">
      <formula>$Q$45</formula>
    </cfRule>
    <cfRule type="cellIs" dxfId="645" priority="24" operator="equal">
      <formula>$Q$45</formula>
    </cfRule>
  </conditionalFormatting>
  <conditionalFormatting sqref="R43">
    <cfRule type="cellIs" dxfId="644" priority="21" operator="notEqual">
      <formula>$R$45</formula>
    </cfRule>
    <cfRule type="cellIs" dxfId="643" priority="22" operator="equal">
      <formula>$R$45</formula>
    </cfRule>
  </conditionalFormatting>
  <conditionalFormatting sqref="S43">
    <cfRule type="cellIs" dxfId="642" priority="19" operator="notEqual">
      <formula>$S$45</formula>
    </cfRule>
    <cfRule type="cellIs" dxfId="641" priority="20" operator="equal">
      <formula>$S$45</formula>
    </cfRule>
  </conditionalFormatting>
  <conditionalFormatting sqref="T43">
    <cfRule type="cellIs" dxfId="640" priority="17" operator="notEqual">
      <formula>$T$45</formula>
    </cfRule>
    <cfRule type="cellIs" dxfId="639" priority="18" operator="equal">
      <formula>$T$45</formula>
    </cfRule>
  </conditionalFormatting>
  <conditionalFormatting sqref="U43">
    <cfRule type="cellIs" dxfId="638" priority="15" operator="notEqual">
      <formula>$U$45</formula>
    </cfRule>
    <cfRule type="cellIs" dxfId="637" priority="16" operator="equal">
      <formula>$U$45</formula>
    </cfRule>
  </conditionalFormatting>
  <conditionalFormatting sqref="V43">
    <cfRule type="cellIs" dxfId="636" priority="13" operator="notEqual">
      <formula>$V$45</formula>
    </cfRule>
    <cfRule type="cellIs" dxfId="635" priority="14" operator="equal">
      <formula>$V$45</formula>
    </cfRule>
  </conditionalFormatting>
  <conditionalFormatting sqref="W43">
    <cfRule type="cellIs" dxfId="634" priority="11" operator="notEqual">
      <formula>$W$45</formula>
    </cfRule>
    <cfRule type="cellIs" dxfId="633" priority="12" operator="equal">
      <formula>$W$45</formula>
    </cfRule>
  </conditionalFormatting>
  <conditionalFormatting sqref="X43">
    <cfRule type="cellIs" dxfId="632" priority="9" operator="notEqual">
      <formula>$X$45</formula>
    </cfRule>
    <cfRule type="cellIs" dxfId="631" priority="10" operator="equal">
      <formula>$X$45</formula>
    </cfRule>
  </conditionalFormatting>
  <conditionalFormatting sqref="Y43">
    <cfRule type="cellIs" dxfId="630" priority="7" operator="notEqual">
      <formula>$Y$45</formula>
    </cfRule>
    <cfRule type="cellIs" dxfId="629" priority="8" operator="equal">
      <formula>$Y$45</formula>
    </cfRule>
  </conditionalFormatting>
  <conditionalFormatting sqref="Z43">
    <cfRule type="cellIs" dxfId="628" priority="5" operator="notEqual">
      <formula>$Z$45</formula>
    </cfRule>
    <cfRule type="cellIs" dxfId="627" priority="6" operator="equal">
      <formula>$Z$45</formula>
    </cfRule>
  </conditionalFormatting>
  <conditionalFormatting sqref="AA43">
    <cfRule type="cellIs" dxfId="626" priority="3" operator="notEqual">
      <formula>$AA$45</formula>
    </cfRule>
    <cfRule type="cellIs" dxfId="625" priority="4" operator="equal">
      <formula>$AA$45</formula>
    </cfRule>
  </conditionalFormatting>
  <conditionalFormatting sqref="AB43">
    <cfRule type="cellIs" dxfId="624" priority="1" operator="notEqual">
      <formula>$AB$45</formula>
    </cfRule>
    <cfRule type="cellIs" dxfId="623" priority="2" operator="equal">
      <formula>$AB$45</formula>
    </cfRule>
  </conditionalFormatting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72467-D8E5-4208-A4C5-3EB46D1852A5}">
  <sheetPr codeName="Planilha15"/>
  <dimension ref="A1:AB49"/>
  <sheetViews>
    <sheetView showGridLines="0" topLeftCell="I25" workbookViewId="0">
      <selection activeCell="AB43" sqref="AB43"/>
    </sheetView>
  </sheetViews>
  <sheetFormatPr defaultColWidth="9.109375" defaultRowHeight="11.25" customHeight="1" x14ac:dyDescent="0.3"/>
  <cols>
    <col min="1" max="1" width="9.33203125" style="9" bestFit="1" customWidth="1"/>
    <col min="2" max="2" width="27.109375" style="9" bestFit="1" customWidth="1"/>
    <col min="3" max="3" width="13.5546875" style="9" bestFit="1" customWidth="1"/>
    <col min="4" max="4" width="25.109375" style="9" bestFit="1" customWidth="1"/>
    <col min="5" max="6" width="10.33203125" style="9" bestFit="1" customWidth="1"/>
    <col min="7" max="7" width="6.33203125" style="9" bestFit="1" customWidth="1"/>
    <col min="8" max="8" width="7.44140625" style="9" bestFit="1" customWidth="1"/>
    <col min="9" max="9" width="7.88671875" style="9" bestFit="1" customWidth="1"/>
    <col min="10" max="10" width="9.109375" style="9"/>
    <col min="11" max="11" width="14.33203125" style="9" bestFit="1" customWidth="1"/>
    <col min="12" max="14" width="7.88671875" style="9" bestFit="1" customWidth="1"/>
    <col min="15" max="15" width="11.109375" style="9" bestFit="1" customWidth="1"/>
    <col min="16" max="16" width="8.109375" style="9" bestFit="1" customWidth="1"/>
    <col min="17" max="17" width="9.33203125" style="9" bestFit="1" customWidth="1"/>
    <col min="18" max="18" width="15" style="9" bestFit="1" customWidth="1"/>
    <col min="19" max="19" width="10" style="9" bestFit="1" customWidth="1"/>
    <col min="20" max="20" width="7.88671875" style="9" bestFit="1" customWidth="1"/>
    <col min="21" max="21" width="10.44140625" style="9" bestFit="1" customWidth="1"/>
    <col min="22" max="22" width="7.88671875" style="9" bestFit="1" customWidth="1"/>
    <col min="23" max="23" width="9.33203125" style="9" bestFit="1" customWidth="1"/>
    <col min="24" max="24" width="8" style="9" bestFit="1" customWidth="1"/>
    <col min="25" max="25" width="9.33203125" style="9" bestFit="1" customWidth="1"/>
    <col min="26" max="26" width="11" style="9" bestFit="1" customWidth="1"/>
    <col min="27" max="27" width="9.33203125" style="9" bestFit="1" customWidth="1"/>
    <col min="28" max="28" width="10" style="9" bestFit="1" customWidth="1"/>
    <col min="29" max="16384" width="9.109375" style="9"/>
  </cols>
  <sheetData>
    <row r="1" spans="1:28" ht="11.25" customHeight="1" x14ac:dyDescent="0.3">
      <c r="A1" s="97" t="s">
        <v>59</v>
      </c>
      <c r="B1" s="97" t="s">
        <v>60</v>
      </c>
      <c r="C1" s="97" t="s">
        <v>61</v>
      </c>
      <c r="D1" s="97" t="s">
        <v>62</v>
      </c>
      <c r="E1" s="97" t="s">
        <v>63</v>
      </c>
      <c r="F1" s="97" t="s">
        <v>15</v>
      </c>
      <c r="G1" s="97" t="s">
        <v>65</v>
      </c>
      <c r="H1" s="97" t="s">
        <v>66</v>
      </c>
      <c r="I1" s="97" t="s">
        <v>524</v>
      </c>
      <c r="J1" s="86"/>
      <c r="L1" s="98" t="s">
        <v>552</v>
      </c>
      <c r="M1" s="98"/>
      <c r="N1" s="98"/>
      <c r="O1" s="98"/>
      <c r="P1" s="98"/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</row>
    <row r="2" spans="1:28" ht="11.25" customHeight="1" x14ac:dyDescent="0.3">
      <c r="A2" s="97"/>
      <c r="B2" s="97"/>
      <c r="C2" s="97"/>
      <c r="D2" s="97"/>
      <c r="E2" s="97"/>
      <c r="F2" s="97"/>
      <c r="G2" s="97"/>
      <c r="H2" s="97"/>
      <c r="I2" s="97"/>
      <c r="J2" s="86"/>
      <c r="L2" s="98" t="s">
        <v>451</v>
      </c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</row>
    <row r="3" spans="1:28" ht="11.25" customHeight="1" x14ac:dyDescent="0.3">
      <c r="A3" s="97"/>
      <c r="B3" s="97"/>
      <c r="C3" s="97"/>
      <c r="D3" s="97"/>
      <c r="E3" s="97"/>
      <c r="F3" s="97"/>
      <c r="G3" s="97"/>
      <c r="H3" s="97"/>
      <c r="I3" s="97"/>
      <c r="J3" s="86"/>
      <c r="L3" s="98" t="s">
        <v>424</v>
      </c>
      <c r="M3" s="98"/>
      <c r="N3" s="98"/>
      <c r="O3" s="98"/>
      <c r="P3" s="98"/>
      <c r="Q3" s="98"/>
      <c r="R3" s="98" t="s">
        <v>455</v>
      </c>
      <c r="S3" s="98"/>
      <c r="T3" s="98" t="s">
        <v>433</v>
      </c>
      <c r="U3" s="98"/>
      <c r="V3" s="98"/>
      <c r="W3" s="98"/>
      <c r="X3" s="98" t="s">
        <v>443</v>
      </c>
      <c r="Y3" s="98"/>
      <c r="Z3" s="98" t="s">
        <v>446</v>
      </c>
      <c r="AA3" s="98"/>
      <c r="AB3" s="98" t="s">
        <v>432</v>
      </c>
    </row>
    <row r="4" spans="1:28" ht="11.25" customHeight="1" x14ac:dyDescent="0.3">
      <c r="A4" s="97"/>
      <c r="B4" s="97"/>
      <c r="C4" s="97"/>
      <c r="D4" s="97"/>
      <c r="E4" s="97"/>
      <c r="F4" s="97"/>
      <c r="G4" s="97"/>
      <c r="H4" s="97"/>
      <c r="I4" s="97"/>
      <c r="J4" s="86"/>
      <c r="L4" s="24" t="s">
        <v>426</v>
      </c>
      <c r="M4" s="24" t="s">
        <v>452</v>
      </c>
      <c r="N4" s="24" t="s">
        <v>453</v>
      </c>
      <c r="O4" s="24" t="s">
        <v>512</v>
      </c>
      <c r="P4" s="24" t="s">
        <v>454</v>
      </c>
      <c r="Q4" s="24" t="s">
        <v>432</v>
      </c>
      <c r="R4" s="24" t="s">
        <v>456</v>
      </c>
      <c r="S4" s="24" t="s">
        <v>432</v>
      </c>
      <c r="T4" s="24" t="s">
        <v>457</v>
      </c>
      <c r="U4" s="24" t="s">
        <v>458</v>
      </c>
      <c r="V4" s="24" t="s">
        <v>459</v>
      </c>
      <c r="W4" s="24" t="s">
        <v>432</v>
      </c>
      <c r="X4" s="24" t="s">
        <v>444</v>
      </c>
      <c r="Y4" s="24" t="s">
        <v>432</v>
      </c>
      <c r="Z4" s="24" t="s">
        <v>460</v>
      </c>
      <c r="AA4" s="24" t="s">
        <v>432</v>
      </c>
      <c r="AB4" s="99"/>
    </row>
    <row r="5" spans="1:28" ht="11.25" customHeight="1" x14ac:dyDescent="0.3">
      <c r="A5" s="96" t="s">
        <v>35</v>
      </c>
      <c r="B5" s="96" t="s">
        <v>68</v>
      </c>
      <c r="C5" s="96" t="s">
        <v>25</v>
      </c>
      <c r="D5" s="96" t="s">
        <v>25</v>
      </c>
      <c r="E5" s="96" t="s">
        <v>25</v>
      </c>
      <c r="F5" s="96" t="s">
        <v>25</v>
      </c>
      <c r="G5" s="23" t="s">
        <v>70</v>
      </c>
      <c r="H5" s="23" t="s">
        <v>69</v>
      </c>
      <c r="I5" s="23">
        <f>'MERCADO TE'!$U$2</f>
        <v>1248.6389999999999</v>
      </c>
      <c r="J5" s="15"/>
      <c r="L5" s="20">
        <f>'TE BE'!$L$5*'TE BF'!$L$48</f>
        <v>0</v>
      </c>
      <c r="M5" s="20">
        <f>'TE BE'!$M$5*'TE BF'!$M$48</f>
        <v>0</v>
      </c>
      <c r="N5" s="20">
        <f>'TE BE'!$N$5*'TE BF'!$N$48</f>
        <v>0</v>
      </c>
      <c r="O5" s="20">
        <f>'TE BE'!$O$5*'TE BF'!$O$48</f>
        <v>0</v>
      </c>
      <c r="P5" s="20">
        <f>'TE BE'!$P$5*'TE BF'!$P$48</f>
        <v>0</v>
      </c>
      <c r="Q5" s="20">
        <f>SUM($L$5:$P$5)</f>
        <v>0</v>
      </c>
      <c r="R5" s="20">
        <f>'TE BE'!$R$5*'TE BF'!$R$48</f>
        <v>0</v>
      </c>
      <c r="S5" s="20">
        <f>SUM($R$5:$R$5)</f>
        <v>0</v>
      </c>
      <c r="T5" s="20">
        <f>'TE BE'!$T$5*'TE BF'!$T$48</f>
        <v>0</v>
      </c>
      <c r="U5" s="20">
        <f>'TE BE'!$U$5*'TE BF'!$U$48</f>
        <v>0</v>
      </c>
      <c r="V5" s="20">
        <f>'TE BE'!$V$5*'TE BF'!$V$48</f>
        <v>0</v>
      </c>
      <c r="W5" s="20">
        <f>SUM($T$5:$V$5)</f>
        <v>0</v>
      </c>
      <c r="X5" s="20">
        <f>'TE BE'!$AB$5*'TE BF'!$X$48</f>
        <v>0</v>
      </c>
      <c r="Y5" s="20">
        <f>SUM($X$5:$X$5)</f>
        <v>0</v>
      </c>
      <c r="Z5" s="20">
        <f>'TE BE'!$Z$5*'TE BF'!$Z$48</f>
        <v>0</v>
      </c>
      <c r="AA5" s="20">
        <f>SUM($Z$5:$Z$5)</f>
        <v>0</v>
      </c>
      <c r="AB5" s="20">
        <f>SUMIF($L$4:$AA$4,"SUBTOTAL",$L$5:$AA$5)</f>
        <v>0</v>
      </c>
    </row>
    <row r="6" spans="1:28" ht="11.25" customHeight="1" x14ac:dyDescent="0.3">
      <c r="A6" s="96"/>
      <c r="B6" s="96"/>
      <c r="C6" s="96"/>
      <c r="D6" s="96"/>
      <c r="E6" s="96"/>
      <c r="F6" s="96"/>
      <c r="G6" s="23" t="s">
        <v>71</v>
      </c>
      <c r="H6" s="23" t="s">
        <v>69</v>
      </c>
      <c r="I6" s="23">
        <f>'MERCADO TE'!$U$3</f>
        <v>28654.205000000002</v>
      </c>
      <c r="J6" s="15"/>
      <c r="L6" s="20">
        <f>'TE BE'!$L$6*'TE BF'!$L$48</f>
        <v>0</v>
      </c>
      <c r="M6" s="20">
        <f>'TE BE'!$M$6*'TE BF'!$M$48</f>
        <v>0</v>
      </c>
      <c r="N6" s="20">
        <f>'TE BE'!$N$6*'TE BF'!$N$48</f>
        <v>0</v>
      </c>
      <c r="O6" s="20">
        <f>'TE BE'!$O$6*'TE BF'!$O$48</f>
        <v>0</v>
      </c>
      <c r="P6" s="20">
        <f>'TE BE'!$P$6*'TE BF'!$P$48</f>
        <v>0</v>
      </c>
      <c r="Q6" s="20">
        <f>SUM($L$6:$P$6)</f>
        <v>0</v>
      </c>
      <c r="R6" s="20">
        <f>'TE BE'!$R$6*'TE BF'!$R$48</f>
        <v>0</v>
      </c>
      <c r="S6" s="20">
        <f>SUM($R$6:$R$6)</f>
        <v>0</v>
      </c>
      <c r="T6" s="20">
        <f>'TE BE'!$T$6*'TE BF'!$T$48</f>
        <v>0</v>
      </c>
      <c r="U6" s="20">
        <f>'TE BE'!$U$6*'TE BF'!$U$48</f>
        <v>0</v>
      </c>
      <c r="V6" s="20">
        <f>'TE BE'!$V$6*'TE BF'!$V$48</f>
        <v>0</v>
      </c>
      <c r="W6" s="20">
        <f>SUM($T$6:$V$6)</f>
        <v>0</v>
      </c>
      <c r="X6" s="20">
        <f>'TE BE'!$AB$6*'TE BF'!$X$48</f>
        <v>0</v>
      </c>
      <c r="Y6" s="20">
        <f>SUM($X$6:$X$6)</f>
        <v>0</v>
      </c>
      <c r="Z6" s="20">
        <f>'TE BE'!$Z$6*'TE BF'!$Z$48</f>
        <v>0</v>
      </c>
      <c r="AA6" s="20">
        <f>SUM($Z$6:$Z$6)</f>
        <v>0</v>
      </c>
      <c r="AB6" s="20">
        <f>SUMIF($L$4:$AA$4,"SUBTOTAL",$L$6:$AA$6)</f>
        <v>0</v>
      </c>
    </row>
    <row r="7" spans="1:28" ht="11.25" customHeight="1" x14ac:dyDescent="0.3">
      <c r="A7" s="96" t="s">
        <v>22</v>
      </c>
      <c r="B7" s="96" t="s">
        <v>68</v>
      </c>
      <c r="C7" s="96" t="s">
        <v>24</v>
      </c>
      <c r="D7" s="96" t="s">
        <v>24</v>
      </c>
      <c r="E7" s="96" t="s">
        <v>25</v>
      </c>
      <c r="F7" s="96" t="s">
        <v>25</v>
      </c>
      <c r="G7" s="23" t="s">
        <v>70</v>
      </c>
      <c r="H7" s="23" t="s">
        <v>69</v>
      </c>
      <c r="I7" s="23">
        <f>'MERCADO TE'!$U$4</f>
        <v>0</v>
      </c>
      <c r="J7" s="15"/>
      <c r="L7" s="20">
        <f>'TE BE'!$L$7*'TE BF'!$L$48</f>
        <v>0</v>
      </c>
      <c r="M7" s="20">
        <f>'TE BE'!$M$7*'TE BF'!$M$48</f>
        <v>0</v>
      </c>
      <c r="N7" s="20">
        <f>'TE BE'!$N$7*'TE BF'!$N$48</f>
        <v>0</v>
      </c>
      <c r="O7" s="20">
        <f>'TE BE'!$O$7*'TE BF'!$O$48</f>
        <v>0</v>
      </c>
      <c r="P7" s="20">
        <f>'TE BE'!$P$7*'TE BF'!$P$48</f>
        <v>0</v>
      </c>
      <c r="Q7" s="20">
        <f>SUM($L$7:$P$7)</f>
        <v>0</v>
      </c>
      <c r="R7" s="20">
        <f>'TE BE'!$R$7*'TE BF'!$R$48</f>
        <v>0</v>
      </c>
      <c r="S7" s="20">
        <f>SUM($R$7:$R$7)</f>
        <v>0</v>
      </c>
      <c r="T7" s="20">
        <f>'TE BE'!$T$7*'TE BF'!$T$48</f>
        <v>0</v>
      </c>
      <c r="U7" s="20">
        <f>'TE BE'!$U$7*'TE BF'!$U$48</f>
        <v>0</v>
      </c>
      <c r="V7" s="20">
        <f>'TE BE'!$V$7*'TE BF'!$V$48</f>
        <v>0</v>
      </c>
      <c r="W7" s="20">
        <f>SUM($T$7:$V$7)</f>
        <v>0</v>
      </c>
      <c r="X7" s="20">
        <f>'TE BE'!$AB$7*'TE BF'!$X$48</f>
        <v>0</v>
      </c>
      <c r="Y7" s="20">
        <f>SUM($X$7:$X$7)</f>
        <v>0</v>
      </c>
      <c r="Z7" s="20">
        <f>'TE BE'!$Z$7*'TE BF'!$Z$48</f>
        <v>0</v>
      </c>
      <c r="AA7" s="20">
        <f>SUM($Z$7:$Z$7)</f>
        <v>0</v>
      </c>
      <c r="AB7" s="20">
        <f>SUMIF($L$4:$AA$4,"SUBTOTAL",$L$7:$AA$7)</f>
        <v>0</v>
      </c>
    </row>
    <row r="8" spans="1:28" ht="11.25" customHeight="1" x14ac:dyDescent="0.3">
      <c r="A8" s="96"/>
      <c r="B8" s="96"/>
      <c r="C8" s="96"/>
      <c r="D8" s="96"/>
      <c r="E8" s="96"/>
      <c r="F8" s="96"/>
      <c r="G8" s="23" t="s">
        <v>81</v>
      </c>
      <c r="H8" s="23" t="s">
        <v>69</v>
      </c>
      <c r="I8" s="23">
        <f>'MERCADO TE'!$U$5</f>
        <v>0</v>
      </c>
      <c r="J8" s="15"/>
      <c r="L8" s="20">
        <f>'TE BE'!$L$8*'TE BF'!$L$48</f>
        <v>0</v>
      </c>
      <c r="M8" s="20">
        <f>'TE BE'!$M$8*'TE BF'!$M$48</f>
        <v>0</v>
      </c>
      <c r="N8" s="20">
        <f>'TE BE'!$N$8*'TE BF'!$N$48</f>
        <v>0</v>
      </c>
      <c r="O8" s="20">
        <f>'TE BE'!$O$8*'TE BF'!$O$48</f>
        <v>0</v>
      </c>
      <c r="P8" s="20">
        <f>'TE BE'!$P$8*'TE BF'!$P$48</f>
        <v>0</v>
      </c>
      <c r="Q8" s="20">
        <f>SUM($L$8:$P$8)</f>
        <v>0</v>
      </c>
      <c r="R8" s="20">
        <f>'TE BE'!$R$8*'TE BF'!$R$48</f>
        <v>0</v>
      </c>
      <c r="S8" s="20">
        <f>SUM($R$8:$R$8)</f>
        <v>0</v>
      </c>
      <c r="T8" s="20">
        <f>'TE BE'!$T$8*'TE BF'!$T$48</f>
        <v>0</v>
      </c>
      <c r="U8" s="20">
        <f>'TE BE'!$U$8*'TE BF'!$U$48</f>
        <v>0</v>
      </c>
      <c r="V8" s="20">
        <f>'TE BE'!$V$8*'TE BF'!$V$48</f>
        <v>0</v>
      </c>
      <c r="W8" s="20">
        <f>SUM($T$8:$V$8)</f>
        <v>0</v>
      </c>
      <c r="X8" s="20">
        <f>'TE BE'!$AB$8*'TE BF'!$X$48</f>
        <v>0</v>
      </c>
      <c r="Y8" s="20">
        <f>SUM($X$8:$X$8)</f>
        <v>0</v>
      </c>
      <c r="Z8" s="20">
        <f>'TE BE'!$Z$8*'TE BF'!$Z$48</f>
        <v>0</v>
      </c>
      <c r="AA8" s="20">
        <f>SUM($Z$8:$Z$8)</f>
        <v>0</v>
      </c>
      <c r="AB8" s="20">
        <f>SUMIF($L$4:$AA$4,"SUBTOTAL",$L$8:$AA$8)</f>
        <v>0</v>
      </c>
    </row>
    <row r="9" spans="1:28" ht="11.25" customHeight="1" x14ac:dyDescent="0.3">
      <c r="A9" s="96"/>
      <c r="B9" s="96"/>
      <c r="C9" s="96"/>
      <c r="D9" s="96"/>
      <c r="E9" s="96"/>
      <c r="F9" s="96"/>
      <c r="G9" s="23" t="s">
        <v>71</v>
      </c>
      <c r="H9" s="23" t="s">
        <v>69</v>
      </c>
      <c r="I9" s="23">
        <f>'MERCADO TE'!$U$6</f>
        <v>0</v>
      </c>
      <c r="J9" s="15"/>
      <c r="L9" s="20">
        <f>'TE BE'!$L$9*'TE BF'!$L$48</f>
        <v>0</v>
      </c>
      <c r="M9" s="20">
        <f>'TE BE'!$M$9*'TE BF'!$M$48</f>
        <v>0</v>
      </c>
      <c r="N9" s="20">
        <f>'TE BE'!$N$9*'TE BF'!$N$48</f>
        <v>0</v>
      </c>
      <c r="O9" s="20">
        <f>'TE BE'!$O$9*'TE BF'!$O$48</f>
        <v>0</v>
      </c>
      <c r="P9" s="20">
        <f>'TE BE'!$P$9*'TE BF'!$P$48</f>
        <v>0</v>
      </c>
      <c r="Q9" s="20">
        <f>SUM($L$9:$P$9)</f>
        <v>0</v>
      </c>
      <c r="R9" s="20">
        <f>'TE BE'!$R$9*'TE BF'!$R$48</f>
        <v>0</v>
      </c>
      <c r="S9" s="20">
        <f>SUM($R$9:$R$9)</f>
        <v>0</v>
      </c>
      <c r="T9" s="20">
        <f>'TE BE'!$T$9*'TE BF'!$T$48</f>
        <v>0</v>
      </c>
      <c r="U9" s="20">
        <f>'TE BE'!$U$9*'TE BF'!$U$48</f>
        <v>0</v>
      </c>
      <c r="V9" s="20">
        <f>'TE BE'!$V$9*'TE BF'!$V$48</f>
        <v>0</v>
      </c>
      <c r="W9" s="20">
        <f>SUM($T$9:$V$9)</f>
        <v>0</v>
      </c>
      <c r="X9" s="20">
        <f>'TE BE'!$AB$9*'TE BF'!$X$48</f>
        <v>0</v>
      </c>
      <c r="Y9" s="20">
        <f>SUM($X$9:$X$9)</f>
        <v>0</v>
      </c>
      <c r="Z9" s="20">
        <f>'TE BE'!$Z$9*'TE BF'!$Z$48</f>
        <v>0</v>
      </c>
      <c r="AA9" s="20">
        <f>SUM($Z$9:$Z$9)</f>
        <v>0</v>
      </c>
      <c r="AB9" s="20">
        <f>SUMIF($L$4:$AA$4,"SUBTOTAL",$L$9:$AA$9)</f>
        <v>0</v>
      </c>
    </row>
    <row r="10" spans="1:28" ht="11.25" customHeight="1" x14ac:dyDescent="0.3">
      <c r="A10" s="96"/>
      <c r="B10" s="96" t="s">
        <v>82</v>
      </c>
      <c r="C10" s="96" t="s">
        <v>24</v>
      </c>
      <c r="D10" s="22" t="s">
        <v>24</v>
      </c>
      <c r="E10" s="22" t="s">
        <v>25</v>
      </c>
      <c r="F10" s="22" t="s">
        <v>25</v>
      </c>
      <c r="G10" s="23" t="s">
        <v>75</v>
      </c>
      <c r="H10" s="23" t="s">
        <v>69</v>
      </c>
      <c r="I10" s="23">
        <f>'MERCADO TE'!$U$7</f>
        <v>6626.2160000000003</v>
      </c>
      <c r="J10" s="15"/>
      <c r="L10" s="20">
        <f>'TE BE'!$L$10*'TE BF'!$L$48</f>
        <v>0</v>
      </c>
      <c r="M10" s="20">
        <f>'TE BE'!$M$10*'TE BF'!$M$48</f>
        <v>0</v>
      </c>
      <c r="N10" s="20">
        <f>'TE BE'!$N$10*'TE BF'!$N$48</f>
        <v>0</v>
      </c>
      <c r="O10" s="20">
        <f>'TE BE'!$O$10*'TE BF'!$O$48</f>
        <v>0</v>
      </c>
      <c r="P10" s="20">
        <f>'TE BE'!$P$10*'TE BF'!$P$48</f>
        <v>0</v>
      </c>
      <c r="Q10" s="20">
        <f>SUM($L$10:$P$10)</f>
        <v>0</v>
      </c>
      <c r="R10" s="20">
        <f>'TE BE'!$R$10*'TE BF'!$R$48</f>
        <v>0</v>
      </c>
      <c r="S10" s="20">
        <f>SUM($R$10:$R$10)</f>
        <v>0</v>
      </c>
      <c r="T10" s="20">
        <f>'TE BE'!$T$10*'TE BF'!$T$48</f>
        <v>0</v>
      </c>
      <c r="U10" s="20">
        <f>'TE BE'!$U$10*'TE BF'!$U$48</f>
        <v>0</v>
      </c>
      <c r="V10" s="20">
        <f>'TE BE'!$V$10*'TE BF'!$V$48</f>
        <v>0</v>
      </c>
      <c r="W10" s="20">
        <f>SUM($T$10:$V$10)</f>
        <v>0</v>
      </c>
      <c r="X10" s="20">
        <f>'TE BE'!$AB$10*'TE BF'!$X$48</f>
        <v>0</v>
      </c>
      <c r="Y10" s="20">
        <f>SUM($X$10:$X$10)</f>
        <v>0</v>
      </c>
      <c r="Z10" s="20">
        <f>'TE BE'!$Z$10*'TE BF'!$Z$48</f>
        <v>0</v>
      </c>
      <c r="AA10" s="20">
        <f>SUM($Z$10:$Z$10)</f>
        <v>0</v>
      </c>
      <c r="AB10" s="20">
        <f>SUMIF($L$4:$AA$4,"SUBTOTAL",$L$10:$AA$10)</f>
        <v>0</v>
      </c>
    </row>
    <row r="11" spans="1:28" ht="11.25" customHeight="1" x14ac:dyDescent="0.3">
      <c r="A11" s="96"/>
      <c r="B11" s="96"/>
      <c r="C11" s="96"/>
      <c r="D11" s="22" t="s">
        <v>29</v>
      </c>
      <c r="E11" s="22" t="s">
        <v>25</v>
      </c>
      <c r="F11" s="22" t="s">
        <v>25</v>
      </c>
      <c r="G11" s="23" t="s">
        <v>75</v>
      </c>
      <c r="H11" s="23" t="s">
        <v>69</v>
      </c>
      <c r="I11" s="23">
        <f>'MERCADO TE'!$U$8</f>
        <v>56.819999999999993</v>
      </c>
      <c r="J11" s="15"/>
      <c r="L11" s="20">
        <f>'TE BE'!$L$11*'TE BF'!$L$48</f>
        <v>0</v>
      </c>
      <c r="M11" s="20">
        <f>'TE BE'!$M$11*'TE BF'!$M$48</f>
        <v>0</v>
      </c>
      <c r="N11" s="20">
        <f>'TE BE'!$N$11*'TE BF'!$N$48</f>
        <v>0</v>
      </c>
      <c r="O11" s="20">
        <f>'TE BE'!$O$11*'TE BF'!$O$48</f>
        <v>0</v>
      </c>
      <c r="P11" s="20">
        <f>'TE BE'!$P$11*'TE BF'!$P$48</f>
        <v>0</v>
      </c>
      <c r="Q11" s="20">
        <f>SUM($L$11:$P$11)</f>
        <v>0</v>
      </c>
      <c r="R11" s="20">
        <f>'TE BE'!$R$11*'TE BF'!$R$48</f>
        <v>0</v>
      </c>
      <c r="S11" s="20">
        <f>SUM($R$11:$R$11)</f>
        <v>0</v>
      </c>
      <c r="T11" s="20">
        <f>'TE BE'!$T$11*'TE BF'!$T$48</f>
        <v>0</v>
      </c>
      <c r="U11" s="20">
        <f>'TE BE'!$U$11*'TE BF'!$U$48</f>
        <v>0</v>
      </c>
      <c r="V11" s="20">
        <f>'TE BE'!$V$11*'TE BF'!$V$48</f>
        <v>0</v>
      </c>
      <c r="W11" s="20">
        <f>SUM($T$11:$V$11)</f>
        <v>0</v>
      </c>
      <c r="X11" s="20">
        <f>'TE BE'!$AB$11*'TE BF'!$X$48</f>
        <v>0</v>
      </c>
      <c r="Y11" s="20">
        <f>SUM($X$11:$X$11)</f>
        <v>0</v>
      </c>
      <c r="Z11" s="20">
        <f>'TE BE'!$Z$11*'TE BF'!$Z$48</f>
        <v>0</v>
      </c>
      <c r="AA11" s="20">
        <f>SUM($Z$11:$Z$11)</f>
        <v>0</v>
      </c>
      <c r="AB11" s="20">
        <f>SUMIF($L$4:$AA$4,"SUBTOTAL",$L$11:$AA$11)</f>
        <v>0</v>
      </c>
    </row>
    <row r="12" spans="1:28" ht="11.25" customHeight="1" x14ac:dyDescent="0.3">
      <c r="A12" s="96"/>
      <c r="B12" s="96"/>
      <c r="C12" s="96"/>
      <c r="D12" s="22" t="s">
        <v>30</v>
      </c>
      <c r="E12" s="22" t="s">
        <v>25</v>
      </c>
      <c r="F12" s="22" t="s">
        <v>25</v>
      </c>
      <c r="G12" s="23" t="s">
        <v>75</v>
      </c>
      <c r="H12" s="23" t="s">
        <v>69</v>
      </c>
      <c r="I12" s="23">
        <f>'MERCADO TE'!$U$9</f>
        <v>114.55999999999999</v>
      </c>
      <c r="J12" s="15"/>
      <c r="L12" s="20">
        <f>'TE BE'!$L$12*'TE BF'!$L$48</f>
        <v>0</v>
      </c>
      <c r="M12" s="20">
        <f>'TE BE'!$M$12*'TE BF'!$M$48</f>
        <v>0</v>
      </c>
      <c r="N12" s="20">
        <f>'TE BE'!$N$12*'TE BF'!$N$48</f>
        <v>0</v>
      </c>
      <c r="O12" s="20">
        <f>'TE BE'!$O$12*'TE BF'!$O$48</f>
        <v>0</v>
      </c>
      <c r="P12" s="20">
        <f>'TE BE'!$P$12*'TE BF'!$P$48</f>
        <v>0</v>
      </c>
      <c r="Q12" s="20">
        <f>SUM($L$12:$P$12)</f>
        <v>0</v>
      </c>
      <c r="R12" s="20">
        <f>'TE BE'!$R$12*'TE BF'!$R$48</f>
        <v>0</v>
      </c>
      <c r="S12" s="20">
        <f>SUM($R$12:$R$12)</f>
        <v>0</v>
      </c>
      <c r="T12" s="20">
        <f>'TE BE'!$T$12*'TE BF'!$T$48</f>
        <v>0</v>
      </c>
      <c r="U12" s="20">
        <f>'TE BE'!$U$12*'TE BF'!$U$48</f>
        <v>0</v>
      </c>
      <c r="V12" s="20">
        <f>'TE BE'!$V$12*'TE BF'!$V$48</f>
        <v>0</v>
      </c>
      <c r="W12" s="20">
        <f>SUM($T$12:$V$12)</f>
        <v>0</v>
      </c>
      <c r="X12" s="20">
        <f>'TE BE'!$AB$12*'TE BF'!$X$48</f>
        <v>0</v>
      </c>
      <c r="Y12" s="20">
        <f>SUM($X$12:$X$12)</f>
        <v>0</v>
      </c>
      <c r="Z12" s="20">
        <f>'TE BE'!$Z$12*'TE BF'!$Z$48</f>
        <v>0</v>
      </c>
      <c r="AA12" s="20">
        <f>SUM($Z$12:$Z$12)</f>
        <v>0</v>
      </c>
      <c r="AB12" s="20">
        <f>SUMIF($L$4:$AA$4,"SUBTOTAL",$L$12:$AA$12)</f>
        <v>0</v>
      </c>
    </row>
    <row r="13" spans="1:28" ht="11.25" customHeight="1" x14ac:dyDescent="0.3">
      <c r="A13" s="96"/>
      <c r="B13" s="96"/>
      <c r="C13" s="96"/>
      <c r="D13" s="22" t="s">
        <v>31</v>
      </c>
      <c r="E13" s="22" t="s">
        <v>25</v>
      </c>
      <c r="F13" s="22" t="s">
        <v>25</v>
      </c>
      <c r="G13" s="23" t="s">
        <v>75</v>
      </c>
      <c r="H13" s="23" t="s">
        <v>69</v>
      </c>
      <c r="I13" s="23">
        <f>'MERCADO TE'!$U$10</f>
        <v>116.22800000000001</v>
      </c>
      <c r="J13" s="15"/>
      <c r="L13" s="20">
        <f>'TE BE'!$L$13*'TE BF'!$L$48</f>
        <v>0</v>
      </c>
      <c r="M13" s="20">
        <f>'TE BE'!$M$13*'TE BF'!$M$48</f>
        <v>0</v>
      </c>
      <c r="N13" s="20">
        <f>'TE BE'!$N$13*'TE BF'!$N$48</f>
        <v>0</v>
      </c>
      <c r="O13" s="20">
        <f>'TE BE'!$O$13*'TE BF'!$O$48</f>
        <v>0</v>
      </c>
      <c r="P13" s="20">
        <f>'TE BE'!$P$13*'TE BF'!$P$48</f>
        <v>0</v>
      </c>
      <c r="Q13" s="20">
        <f>SUM($L$13:$P$13)</f>
        <v>0</v>
      </c>
      <c r="R13" s="20">
        <f>'TE BE'!$R$13*'TE BF'!$R$48</f>
        <v>0</v>
      </c>
      <c r="S13" s="20">
        <f>SUM($R$13:$R$13)</f>
        <v>0</v>
      </c>
      <c r="T13" s="20">
        <f>'TE BE'!$T$13*'TE BF'!$T$48</f>
        <v>0</v>
      </c>
      <c r="U13" s="20">
        <f>'TE BE'!$U$13*'TE BF'!$U$48</f>
        <v>0</v>
      </c>
      <c r="V13" s="20">
        <f>'TE BE'!$V$13*'TE BF'!$V$48</f>
        <v>0</v>
      </c>
      <c r="W13" s="20">
        <f>SUM($T$13:$V$13)</f>
        <v>0</v>
      </c>
      <c r="X13" s="20">
        <f>'TE BE'!$AB$13*'TE BF'!$X$48</f>
        <v>0</v>
      </c>
      <c r="Y13" s="20">
        <f>SUM($X$13:$X$13)</f>
        <v>0</v>
      </c>
      <c r="Z13" s="20">
        <f>'TE BE'!$Z$13*'TE BF'!$Z$48</f>
        <v>0</v>
      </c>
      <c r="AA13" s="20">
        <f>SUM($Z$13:$Z$13)</f>
        <v>0</v>
      </c>
      <c r="AB13" s="20">
        <f>SUMIF($L$4:$AA$4,"SUBTOTAL",$L$13:$AA$13)</f>
        <v>0</v>
      </c>
    </row>
    <row r="14" spans="1:28" ht="11.25" customHeight="1" x14ac:dyDescent="0.3">
      <c r="A14" s="96"/>
      <c r="B14" s="96"/>
      <c r="C14" s="96"/>
      <c r="D14" s="22" t="s">
        <v>32</v>
      </c>
      <c r="E14" s="22" t="s">
        <v>25</v>
      </c>
      <c r="F14" s="22" t="s">
        <v>25</v>
      </c>
      <c r="G14" s="23" t="s">
        <v>75</v>
      </c>
      <c r="H14" s="23" t="s">
        <v>69</v>
      </c>
      <c r="I14" s="23">
        <f>'MERCADO TE'!$U$11</f>
        <v>45.311999999999998</v>
      </c>
      <c r="J14" s="15"/>
      <c r="L14" s="20">
        <f>'TE BE'!$L$14*'TE BF'!$L$48</f>
        <v>0</v>
      </c>
      <c r="M14" s="20">
        <f>'TE BE'!$M$14*'TE BF'!$M$48</f>
        <v>0</v>
      </c>
      <c r="N14" s="20">
        <f>'TE BE'!$N$14*'TE BF'!$N$48</f>
        <v>0</v>
      </c>
      <c r="O14" s="20">
        <f>'TE BE'!$O$14*'TE BF'!$O$48</f>
        <v>0</v>
      </c>
      <c r="P14" s="20">
        <f>'TE BE'!$P$14*'TE BF'!$P$48</f>
        <v>0</v>
      </c>
      <c r="Q14" s="20">
        <f>SUM($L$14:$P$14)</f>
        <v>0</v>
      </c>
      <c r="R14" s="20">
        <f>'TE BE'!$R$14*'TE BF'!$R$48</f>
        <v>0</v>
      </c>
      <c r="S14" s="20">
        <f>SUM($R$14:$R$14)</f>
        <v>0</v>
      </c>
      <c r="T14" s="20">
        <f>'TE BE'!$T$14*'TE BF'!$T$48</f>
        <v>0</v>
      </c>
      <c r="U14" s="20">
        <f>'TE BE'!$U$14*'TE BF'!$U$48</f>
        <v>0</v>
      </c>
      <c r="V14" s="20">
        <f>'TE BE'!$V$14*'TE BF'!$V$48</f>
        <v>0</v>
      </c>
      <c r="W14" s="20">
        <f>SUM($T$14:$V$14)</f>
        <v>0</v>
      </c>
      <c r="X14" s="20">
        <f>'TE BE'!$AB$14*'TE BF'!$X$48</f>
        <v>0</v>
      </c>
      <c r="Y14" s="20">
        <f>SUM($X$14:$X$14)</f>
        <v>0</v>
      </c>
      <c r="Z14" s="20">
        <f>'TE BE'!$Z$14*'TE BF'!$Z$48</f>
        <v>0</v>
      </c>
      <c r="AA14" s="20">
        <f>SUM($Z$14:$Z$14)</f>
        <v>0</v>
      </c>
      <c r="AB14" s="20">
        <f>SUMIF($L$4:$AA$4,"SUBTOTAL",$L$14:$AA$14)</f>
        <v>0</v>
      </c>
    </row>
    <row r="15" spans="1:28" ht="11.25" customHeight="1" x14ac:dyDescent="0.3">
      <c r="A15" s="96"/>
      <c r="B15" s="96" t="s">
        <v>83</v>
      </c>
      <c r="C15" s="96" t="s">
        <v>24</v>
      </c>
      <c r="D15" s="22" t="s">
        <v>24</v>
      </c>
      <c r="E15" s="22" t="s">
        <v>25</v>
      </c>
      <c r="F15" s="22" t="s">
        <v>25</v>
      </c>
      <c r="G15" s="23" t="s">
        <v>75</v>
      </c>
      <c r="H15" s="23" t="s">
        <v>69</v>
      </c>
      <c r="I15" s="23">
        <f>'MERCADO TE'!$U$12</f>
        <v>0</v>
      </c>
      <c r="J15" s="15"/>
      <c r="L15" s="20">
        <f>'TE BE'!$L$15*'TE BF'!$L$48</f>
        <v>0</v>
      </c>
      <c r="M15" s="20">
        <f>'TE BE'!$M$15*'TE BF'!$M$48</f>
        <v>0</v>
      </c>
      <c r="N15" s="20">
        <f>'TE BE'!$N$15*'TE BF'!$N$48</f>
        <v>0</v>
      </c>
      <c r="O15" s="20">
        <f>'TE BE'!$O$15*'TE BF'!$O$48</f>
        <v>0</v>
      </c>
      <c r="P15" s="20">
        <f>'TE BE'!$P$15*'TE BF'!$P$48</f>
        <v>0</v>
      </c>
      <c r="Q15" s="20">
        <f>SUM($L$15:$P$15)</f>
        <v>0</v>
      </c>
      <c r="R15" s="20">
        <f>'TE BE'!$R$15*'TE BF'!$R$48</f>
        <v>0</v>
      </c>
      <c r="S15" s="20">
        <f>SUM($R$15:$R$15)</f>
        <v>0</v>
      </c>
      <c r="T15" s="20">
        <f>'TE BE'!$T$15*'TE BF'!$T$48</f>
        <v>0</v>
      </c>
      <c r="U15" s="20">
        <f>'TE BE'!$U$15*'TE BF'!$U$48</f>
        <v>0</v>
      </c>
      <c r="V15" s="20">
        <f>'TE BE'!$V$15*'TE BF'!$V$48</f>
        <v>0</v>
      </c>
      <c r="W15" s="20">
        <f>SUM($T$15:$V$15)</f>
        <v>0</v>
      </c>
      <c r="X15" s="20">
        <f>'TE BE'!$AB$15*'TE BF'!$X$48</f>
        <v>0</v>
      </c>
      <c r="Y15" s="20">
        <f>SUM($X$15:$X$15)</f>
        <v>0</v>
      </c>
      <c r="Z15" s="20">
        <f>'TE BE'!$Z$15*'TE BF'!$Z$48</f>
        <v>0</v>
      </c>
      <c r="AA15" s="20">
        <f>SUM($Z$15:$Z$15)</f>
        <v>0</v>
      </c>
      <c r="AB15" s="20">
        <f>SUMIF($L$4:$AA$4,"SUBTOTAL",$L$15:$AA$15)</f>
        <v>0</v>
      </c>
    </row>
    <row r="16" spans="1:28" ht="11.25" customHeight="1" x14ac:dyDescent="0.3">
      <c r="A16" s="96"/>
      <c r="B16" s="96"/>
      <c r="C16" s="96"/>
      <c r="D16" s="22" t="s">
        <v>29</v>
      </c>
      <c r="E16" s="22" t="s">
        <v>25</v>
      </c>
      <c r="F16" s="22" t="s">
        <v>25</v>
      </c>
      <c r="G16" s="23" t="s">
        <v>75</v>
      </c>
      <c r="H16" s="23" t="s">
        <v>69</v>
      </c>
      <c r="I16" s="23">
        <f>'MERCADO TE'!$U$13</f>
        <v>0</v>
      </c>
      <c r="J16" s="15"/>
      <c r="L16" s="20">
        <f>'TE BE'!$L$16*'TE BF'!$L$48</f>
        <v>0</v>
      </c>
      <c r="M16" s="20">
        <f>'TE BE'!$M$16*'TE BF'!$M$48</f>
        <v>0</v>
      </c>
      <c r="N16" s="20">
        <f>'TE BE'!$N$16*'TE BF'!$N$48</f>
        <v>0</v>
      </c>
      <c r="O16" s="20">
        <f>'TE BE'!$O$16*'TE BF'!$O$48</f>
        <v>0</v>
      </c>
      <c r="P16" s="20">
        <f>'TE BE'!$P$16*'TE BF'!$P$48</f>
        <v>0</v>
      </c>
      <c r="Q16" s="20">
        <f>SUM($L$16:$P$16)</f>
        <v>0</v>
      </c>
      <c r="R16" s="20">
        <f>'TE BE'!$R$16*'TE BF'!$R$48</f>
        <v>0</v>
      </c>
      <c r="S16" s="20">
        <f>SUM($R$16:$R$16)</f>
        <v>0</v>
      </c>
      <c r="T16" s="20">
        <f>'TE BE'!$T$16*'TE BF'!$T$48</f>
        <v>0</v>
      </c>
      <c r="U16" s="20">
        <f>'TE BE'!$U$16*'TE BF'!$U$48</f>
        <v>0</v>
      </c>
      <c r="V16" s="20">
        <f>'TE BE'!$V$16*'TE BF'!$V$48</f>
        <v>0</v>
      </c>
      <c r="W16" s="20">
        <f>SUM($T$16:$V$16)</f>
        <v>0</v>
      </c>
      <c r="X16" s="20">
        <f>'TE BE'!$AB$16*'TE BF'!$X$48</f>
        <v>0</v>
      </c>
      <c r="Y16" s="20">
        <f>SUM($X$16:$X$16)</f>
        <v>0</v>
      </c>
      <c r="Z16" s="20">
        <f>'TE BE'!$Z$16*'TE BF'!$Z$48</f>
        <v>0</v>
      </c>
      <c r="AA16" s="20">
        <f>SUM($Z$16:$Z$16)</f>
        <v>0</v>
      </c>
      <c r="AB16" s="20">
        <f>SUMIF($L$4:$AA$4,"SUBTOTAL",$L$16:$AA$16)</f>
        <v>0</v>
      </c>
    </row>
    <row r="17" spans="1:28" ht="11.25" customHeight="1" x14ac:dyDescent="0.3">
      <c r="A17" s="96"/>
      <c r="B17" s="96"/>
      <c r="C17" s="96"/>
      <c r="D17" s="22" t="s">
        <v>30</v>
      </c>
      <c r="E17" s="22" t="s">
        <v>25</v>
      </c>
      <c r="F17" s="22" t="s">
        <v>25</v>
      </c>
      <c r="G17" s="23" t="s">
        <v>75</v>
      </c>
      <c r="H17" s="23" t="s">
        <v>69</v>
      </c>
      <c r="I17" s="23">
        <f>'MERCADO TE'!$U$14</f>
        <v>0</v>
      </c>
      <c r="J17" s="15"/>
      <c r="L17" s="20">
        <f>'TE BE'!$L$17*'TE BF'!$L$48</f>
        <v>0</v>
      </c>
      <c r="M17" s="20">
        <f>'TE BE'!$M$17*'TE BF'!$M$48</f>
        <v>0</v>
      </c>
      <c r="N17" s="20">
        <f>'TE BE'!$N$17*'TE BF'!$N$48</f>
        <v>0</v>
      </c>
      <c r="O17" s="20">
        <f>'TE BE'!$O$17*'TE BF'!$O$48</f>
        <v>0</v>
      </c>
      <c r="P17" s="20">
        <f>'TE BE'!$P$17*'TE BF'!$P$48</f>
        <v>0</v>
      </c>
      <c r="Q17" s="20">
        <f>SUM($L$17:$P$17)</f>
        <v>0</v>
      </c>
      <c r="R17" s="20">
        <f>'TE BE'!$R$17*'TE BF'!$R$48</f>
        <v>0</v>
      </c>
      <c r="S17" s="20">
        <f>SUM($R$17:$R$17)</f>
        <v>0</v>
      </c>
      <c r="T17" s="20">
        <f>'TE BE'!$T$17*'TE BF'!$T$48</f>
        <v>0</v>
      </c>
      <c r="U17" s="20">
        <f>'TE BE'!$U$17*'TE BF'!$U$48</f>
        <v>0</v>
      </c>
      <c r="V17" s="20">
        <f>'TE BE'!$V$17*'TE BF'!$V$48</f>
        <v>0</v>
      </c>
      <c r="W17" s="20">
        <f>SUM($T$17:$V$17)</f>
        <v>0</v>
      </c>
      <c r="X17" s="20">
        <f>'TE BE'!$AB$17*'TE BF'!$X$48</f>
        <v>0</v>
      </c>
      <c r="Y17" s="20">
        <f>SUM($X$17:$X$17)</f>
        <v>0</v>
      </c>
      <c r="Z17" s="20">
        <f>'TE BE'!$Z$17*'TE BF'!$Z$48</f>
        <v>0</v>
      </c>
      <c r="AA17" s="20">
        <f>SUM($Z$17:$Z$17)</f>
        <v>0</v>
      </c>
      <c r="AB17" s="20">
        <f>SUMIF($L$4:$AA$4,"SUBTOTAL",$L$17:$AA$17)</f>
        <v>0</v>
      </c>
    </row>
    <row r="18" spans="1:28" ht="11.25" customHeight="1" x14ac:dyDescent="0.3">
      <c r="A18" s="96"/>
      <c r="B18" s="96"/>
      <c r="C18" s="96"/>
      <c r="D18" s="22" t="s">
        <v>31</v>
      </c>
      <c r="E18" s="22" t="s">
        <v>25</v>
      </c>
      <c r="F18" s="22" t="s">
        <v>25</v>
      </c>
      <c r="G18" s="23" t="s">
        <v>75</v>
      </c>
      <c r="H18" s="23" t="s">
        <v>69</v>
      </c>
      <c r="I18" s="23">
        <f>'MERCADO TE'!$U$15</f>
        <v>0</v>
      </c>
      <c r="J18" s="15"/>
      <c r="L18" s="20">
        <f>'TE BE'!$L$18*'TE BF'!$L$48</f>
        <v>0</v>
      </c>
      <c r="M18" s="20">
        <f>'TE BE'!$M$18*'TE BF'!$M$48</f>
        <v>0</v>
      </c>
      <c r="N18" s="20">
        <f>'TE BE'!$N$18*'TE BF'!$N$48</f>
        <v>0</v>
      </c>
      <c r="O18" s="20">
        <f>'TE BE'!$O$18*'TE BF'!$O$48</f>
        <v>0</v>
      </c>
      <c r="P18" s="20">
        <f>'TE BE'!$P$18*'TE BF'!$P$48</f>
        <v>0</v>
      </c>
      <c r="Q18" s="20">
        <f>SUM($L$18:$P$18)</f>
        <v>0</v>
      </c>
      <c r="R18" s="20">
        <f>'TE BE'!$R$18*'TE BF'!$R$48</f>
        <v>0</v>
      </c>
      <c r="S18" s="20">
        <f>SUM($R$18:$R$18)</f>
        <v>0</v>
      </c>
      <c r="T18" s="20">
        <f>'TE BE'!$T$18*'TE BF'!$T$48</f>
        <v>0</v>
      </c>
      <c r="U18" s="20">
        <f>'TE BE'!$U$18*'TE BF'!$U$48</f>
        <v>0</v>
      </c>
      <c r="V18" s="20">
        <f>'TE BE'!$V$18*'TE BF'!$V$48</f>
        <v>0</v>
      </c>
      <c r="W18" s="20">
        <f>SUM($T$18:$V$18)</f>
        <v>0</v>
      </c>
      <c r="X18" s="20">
        <f>'TE BE'!$AB$18*'TE BF'!$X$48</f>
        <v>0</v>
      </c>
      <c r="Y18" s="20">
        <f>SUM($X$18:$X$18)</f>
        <v>0</v>
      </c>
      <c r="Z18" s="20">
        <f>'TE BE'!$Z$18*'TE BF'!$Z$48</f>
        <v>0</v>
      </c>
      <c r="AA18" s="20">
        <f>SUM($Z$18:$Z$18)</f>
        <v>0</v>
      </c>
      <c r="AB18" s="20">
        <f>SUMIF($L$4:$AA$4,"SUBTOTAL",$L$18:$AA$18)</f>
        <v>0</v>
      </c>
    </row>
    <row r="19" spans="1:28" ht="11.25" customHeight="1" x14ac:dyDescent="0.3">
      <c r="A19" s="96"/>
      <c r="B19" s="96"/>
      <c r="C19" s="96"/>
      <c r="D19" s="22" t="s">
        <v>32</v>
      </c>
      <c r="E19" s="22" t="s">
        <v>25</v>
      </c>
      <c r="F19" s="22" t="s">
        <v>25</v>
      </c>
      <c r="G19" s="23" t="s">
        <v>75</v>
      </c>
      <c r="H19" s="23" t="s">
        <v>69</v>
      </c>
      <c r="I19" s="23">
        <f>'MERCADO TE'!$U$16</f>
        <v>0</v>
      </c>
      <c r="J19" s="15"/>
      <c r="L19" s="20">
        <f>'TE BE'!$L$19*'TE BF'!$L$48</f>
        <v>0</v>
      </c>
      <c r="M19" s="20">
        <f>'TE BE'!$M$19*'TE BF'!$M$48</f>
        <v>0</v>
      </c>
      <c r="N19" s="20">
        <f>'TE BE'!$N$19*'TE BF'!$N$48</f>
        <v>0</v>
      </c>
      <c r="O19" s="20">
        <f>'TE BE'!$O$19*'TE BF'!$O$48</f>
        <v>0</v>
      </c>
      <c r="P19" s="20">
        <f>'TE BE'!$P$19*'TE BF'!$P$48</f>
        <v>0</v>
      </c>
      <c r="Q19" s="20">
        <f>SUM($L$19:$P$19)</f>
        <v>0</v>
      </c>
      <c r="R19" s="20">
        <f>'TE BE'!$R$19*'TE BF'!$R$48</f>
        <v>0</v>
      </c>
      <c r="S19" s="20">
        <f>SUM($R$19:$R$19)</f>
        <v>0</v>
      </c>
      <c r="T19" s="20">
        <f>'TE BE'!$T$19*'TE BF'!$T$48</f>
        <v>0</v>
      </c>
      <c r="U19" s="20">
        <f>'TE BE'!$U$19*'TE BF'!$U$48</f>
        <v>0</v>
      </c>
      <c r="V19" s="20">
        <f>'TE BE'!$V$19*'TE BF'!$V$48</f>
        <v>0</v>
      </c>
      <c r="W19" s="20">
        <f>SUM($T$19:$V$19)</f>
        <v>0</v>
      </c>
      <c r="X19" s="20">
        <f>'TE BE'!$AB$19*'TE BF'!$X$48</f>
        <v>0</v>
      </c>
      <c r="Y19" s="20">
        <f>SUM($X$19:$X$19)</f>
        <v>0</v>
      </c>
      <c r="Z19" s="20">
        <f>'TE BE'!$Z$19*'TE BF'!$Z$48</f>
        <v>0</v>
      </c>
      <c r="AA19" s="20">
        <f>SUM($Z$19:$Z$19)</f>
        <v>0</v>
      </c>
      <c r="AB19" s="20">
        <f>SUMIF($L$4:$AA$4,"SUBTOTAL",$L$19:$AA$19)</f>
        <v>0</v>
      </c>
    </row>
    <row r="20" spans="1:28" ht="11.25" customHeight="1" x14ac:dyDescent="0.3">
      <c r="A20" s="96" t="s">
        <v>42</v>
      </c>
      <c r="B20" s="96" t="s">
        <v>68</v>
      </c>
      <c r="C20" s="96" t="s">
        <v>43</v>
      </c>
      <c r="D20" s="96" t="s">
        <v>25</v>
      </c>
      <c r="E20" s="96" t="s">
        <v>25</v>
      </c>
      <c r="F20" s="96" t="s">
        <v>25</v>
      </c>
      <c r="G20" s="23" t="s">
        <v>70</v>
      </c>
      <c r="H20" s="23" t="s">
        <v>69</v>
      </c>
      <c r="I20" s="23">
        <f>'MERCADO TE'!$U$17</f>
        <v>0</v>
      </c>
      <c r="J20" s="15"/>
      <c r="L20" s="20">
        <f>'TE BE'!$L$20*'TE BF'!$L$48</f>
        <v>0</v>
      </c>
      <c r="M20" s="20">
        <f>'TE BE'!$M$20*'TE BF'!$M$48</f>
        <v>0</v>
      </c>
      <c r="N20" s="20">
        <f>'TE BE'!$N$20*'TE BF'!$N$48</f>
        <v>0</v>
      </c>
      <c r="O20" s="20">
        <f>'TE BE'!$O$20*'TE BF'!$O$48</f>
        <v>0</v>
      </c>
      <c r="P20" s="20">
        <f>'TE BE'!$P$20*'TE BF'!$P$48</f>
        <v>0</v>
      </c>
      <c r="Q20" s="20">
        <f>SUM($L$20:$P$20)</f>
        <v>0</v>
      </c>
      <c r="R20" s="20">
        <f>'TE BE'!$R$20*'TE BF'!$R$48</f>
        <v>0</v>
      </c>
      <c r="S20" s="20">
        <f>SUM($R$20:$R$20)</f>
        <v>0</v>
      </c>
      <c r="T20" s="20">
        <f>'TE BE'!$T$20*'TE BF'!$T$48</f>
        <v>0</v>
      </c>
      <c r="U20" s="20">
        <f>'TE BE'!$U$20*'TE BF'!$U$48</f>
        <v>0</v>
      </c>
      <c r="V20" s="20">
        <f>'TE BE'!$V$20*'TE BF'!$V$48</f>
        <v>0</v>
      </c>
      <c r="W20" s="20">
        <f>SUM($T$20:$V$20)</f>
        <v>0</v>
      </c>
      <c r="X20" s="20">
        <f>'TE BE'!$AB$20*'TE BF'!$X$48</f>
        <v>0</v>
      </c>
      <c r="Y20" s="20">
        <f>SUM($X$20:$X$20)</f>
        <v>0</v>
      </c>
      <c r="Z20" s="20">
        <f>'TE BE'!$Z$20*'TE BF'!$Z$48</f>
        <v>0</v>
      </c>
      <c r="AA20" s="20">
        <f>SUM($Z$20:$Z$20)</f>
        <v>0</v>
      </c>
      <c r="AB20" s="20">
        <f>SUMIF($L$4:$AA$4,"SUBTOTAL",$L$20:$AA$20)</f>
        <v>0</v>
      </c>
    </row>
    <row r="21" spans="1:28" ht="11.25" customHeight="1" x14ac:dyDescent="0.3">
      <c r="A21" s="96"/>
      <c r="B21" s="96"/>
      <c r="C21" s="96"/>
      <c r="D21" s="96"/>
      <c r="E21" s="96"/>
      <c r="F21" s="96"/>
      <c r="G21" s="23" t="s">
        <v>81</v>
      </c>
      <c r="H21" s="23" t="s">
        <v>69</v>
      </c>
      <c r="I21" s="23">
        <f>'MERCADO TE'!$U$18</f>
        <v>0</v>
      </c>
      <c r="J21" s="15"/>
      <c r="L21" s="20">
        <f>'TE BE'!$L$21*'TE BF'!$L$48</f>
        <v>0</v>
      </c>
      <c r="M21" s="20">
        <f>'TE BE'!$M$21*'TE BF'!$M$48</f>
        <v>0</v>
      </c>
      <c r="N21" s="20">
        <f>'TE BE'!$N$21*'TE BF'!$N$48</f>
        <v>0</v>
      </c>
      <c r="O21" s="20">
        <f>'TE BE'!$O$21*'TE BF'!$O$48</f>
        <v>0</v>
      </c>
      <c r="P21" s="20">
        <f>'TE BE'!$P$21*'TE BF'!$P$48</f>
        <v>0</v>
      </c>
      <c r="Q21" s="20">
        <f>SUM($L$21:$P$21)</f>
        <v>0</v>
      </c>
      <c r="R21" s="20">
        <f>'TE BE'!$R$21*'TE BF'!$R$48</f>
        <v>0</v>
      </c>
      <c r="S21" s="20">
        <f>SUM($R$21:$R$21)</f>
        <v>0</v>
      </c>
      <c r="T21" s="20">
        <f>'TE BE'!$T$21*'TE BF'!$T$48</f>
        <v>0</v>
      </c>
      <c r="U21" s="20">
        <f>'TE BE'!$U$21*'TE BF'!$U$48</f>
        <v>0</v>
      </c>
      <c r="V21" s="20">
        <f>'TE BE'!$V$21*'TE BF'!$V$48</f>
        <v>0</v>
      </c>
      <c r="W21" s="20">
        <f>SUM($T$21:$V$21)</f>
        <v>0</v>
      </c>
      <c r="X21" s="20">
        <f>'TE BE'!$AB$21*'TE BF'!$X$48</f>
        <v>0</v>
      </c>
      <c r="Y21" s="20">
        <f>SUM($X$21:$X$21)</f>
        <v>0</v>
      </c>
      <c r="Z21" s="20">
        <f>'TE BE'!$Z$21*'TE BF'!$Z$48</f>
        <v>0</v>
      </c>
      <c r="AA21" s="20">
        <f>SUM($Z$21:$Z$21)</f>
        <v>0</v>
      </c>
      <c r="AB21" s="20">
        <f>SUMIF($L$4:$AA$4,"SUBTOTAL",$L$21:$AA$21)</f>
        <v>0</v>
      </c>
    </row>
    <row r="22" spans="1:28" ht="11.25" customHeight="1" x14ac:dyDescent="0.3">
      <c r="A22" s="96"/>
      <c r="B22" s="96"/>
      <c r="C22" s="96"/>
      <c r="D22" s="96"/>
      <c r="E22" s="96"/>
      <c r="F22" s="96"/>
      <c r="G22" s="23" t="s">
        <v>71</v>
      </c>
      <c r="H22" s="23" t="s">
        <v>69</v>
      </c>
      <c r="I22" s="23">
        <f>'MERCADO TE'!$U$19</f>
        <v>0</v>
      </c>
      <c r="J22" s="15"/>
      <c r="L22" s="20">
        <f>'TE BE'!$L$22*'TE BF'!$L$48</f>
        <v>0</v>
      </c>
      <c r="M22" s="20">
        <f>'TE BE'!$M$22*'TE BF'!$M$48</f>
        <v>0</v>
      </c>
      <c r="N22" s="20">
        <f>'TE BE'!$N$22*'TE BF'!$N$48</f>
        <v>0</v>
      </c>
      <c r="O22" s="20">
        <f>'TE BE'!$O$22*'TE BF'!$O$48</f>
        <v>0</v>
      </c>
      <c r="P22" s="20">
        <f>'TE BE'!$P$22*'TE BF'!$P$48</f>
        <v>0</v>
      </c>
      <c r="Q22" s="20">
        <f>SUM($L$22:$P$22)</f>
        <v>0</v>
      </c>
      <c r="R22" s="20">
        <f>'TE BE'!$R$22*'TE BF'!$R$48</f>
        <v>0</v>
      </c>
      <c r="S22" s="20">
        <f>SUM($R$22:$R$22)</f>
        <v>0</v>
      </c>
      <c r="T22" s="20">
        <f>'TE BE'!$T$22*'TE BF'!$T$48</f>
        <v>0</v>
      </c>
      <c r="U22" s="20">
        <f>'TE BE'!$U$22*'TE BF'!$U$48</f>
        <v>0</v>
      </c>
      <c r="V22" s="20">
        <f>'TE BE'!$V$22*'TE BF'!$V$48</f>
        <v>0</v>
      </c>
      <c r="W22" s="20">
        <f>SUM($T$22:$V$22)</f>
        <v>0</v>
      </c>
      <c r="X22" s="20">
        <f>'TE BE'!$AB$22*'TE BF'!$X$48</f>
        <v>0</v>
      </c>
      <c r="Y22" s="20">
        <f>SUM($X$22:$X$22)</f>
        <v>0</v>
      </c>
      <c r="Z22" s="20">
        <f>'TE BE'!$Z$22*'TE BF'!$Z$48</f>
        <v>0</v>
      </c>
      <c r="AA22" s="20">
        <f>SUM($Z$22:$Z$22)</f>
        <v>0</v>
      </c>
      <c r="AB22" s="20">
        <f>SUMIF($L$4:$AA$4,"SUBTOTAL",$L$22:$AA$22)</f>
        <v>0</v>
      </c>
    </row>
    <row r="23" spans="1:28" ht="11.25" customHeight="1" x14ac:dyDescent="0.3">
      <c r="A23" s="96"/>
      <c r="B23" s="22" t="s">
        <v>82</v>
      </c>
      <c r="C23" s="22" t="s">
        <v>43</v>
      </c>
      <c r="D23" s="22" t="s">
        <v>25</v>
      </c>
      <c r="E23" s="22" t="s">
        <v>25</v>
      </c>
      <c r="F23" s="22" t="s">
        <v>25</v>
      </c>
      <c r="G23" s="23" t="s">
        <v>75</v>
      </c>
      <c r="H23" s="23" t="s">
        <v>69</v>
      </c>
      <c r="I23" s="23">
        <f>'MERCADO TE'!$U$20</f>
        <v>3371.0129999999999</v>
      </c>
      <c r="J23" s="15"/>
      <c r="L23" s="20">
        <f>'TE BE'!$L$23*'TE BF'!$L$48</f>
        <v>0</v>
      </c>
      <c r="M23" s="20">
        <f>'TE BE'!$M$23*'TE BF'!$M$48</f>
        <v>0</v>
      </c>
      <c r="N23" s="20">
        <f>'TE BE'!$N$23*'TE BF'!$N$48</f>
        <v>0</v>
      </c>
      <c r="O23" s="20">
        <f>'TE BE'!$O$23*'TE BF'!$O$48</f>
        <v>0</v>
      </c>
      <c r="P23" s="20">
        <f>'TE BE'!$P$23*'TE BF'!$P$48</f>
        <v>0</v>
      </c>
      <c r="Q23" s="20">
        <f>SUM($L$23:$P$23)</f>
        <v>0</v>
      </c>
      <c r="R23" s="20">
        <f>'TE BE'!$R$23*'TE BF'!$R$48</f>
        <v>0</v>
      </c>
      <c r="S23" s="20">
        <f>SUM($R$23:$R$23)</f>
        <v>0</v>
      </c>
      <c r="T23" s="20">
        <f>'TE BE'!$T$23*'TE BF'!$T$48</f>
        <v>0</v>
      </c>
      <c r="U23" s="20">
        <f>'TE BE'!$U$23*'TE BF'!$U$48</f>
        <v>0</v>
      </c>
      <c r="V23" s="20">
        <f>'TE BE'!$V$23*'TE BF'!$V$48</f>
        <v>0</v>
      </c>
      <c r="W23" s="20">
        <f>SUM($T$23:$V$23)</f>
        <v>0</v>
      </c>
      <c r="X23" s="20">
        <f>'TE BE'!$AB$23*'TE BF'!$X$48</f>
        <v>0</v>
      </c>
      <c r="Y23" s="20">
        <f>SUM($X$23:$X$23)</f>
        <v>0</v>
      </c>
      <c r="Z23" s="20">
        <f>'TE BE'!$Z$23*'TE BF'!$Z$48</f>
        <v>0</v>
      </c>
      <c r="AA23" s="20">
        <f>SUM($Z$23:$Z$23)</f>
        <v>0</v>
      </c>
      <c r="AB23" s="20">
        <f>SUMIF($L$4:$AA$4,"SUBTOTAL",$L$23:$AA$23)</f>
        <v>0</v>
      </c>
    </row>
    <row r="24" spans="1:28" ht="11.25" customHeight="1" x14ac:dyDescent="0.3">
      <c r="A24" s="96"/>
      <c r="B24" s="96" t="s">
        <v>68</v>
      </c>
      <c r="C24" s="96" t="s">
        <v>43</v>
      </c>
      <c r="D24" s="96" t="s">
        <v>85</v>
      </c>
      <c r="E24" s="96" t="s">
        <v>25</v>
      </c>
      <c r="F24" s="96" t="s">
        <v>25</v>
      </c>
      <c r="G24" s="23" t="s">
        <v>70</v>
      </c>
      <c r="H24" s="23" t="s">
        <v>69</v>
      </c>
      <c r="I24" s="23">
        <f>'MERCADO TE'!$U$21</f>
        <v>0</v>
      </c>
      <c r="J24" s="15"/>
      <c r="L24" s="20">
        <f>'TE BE'!$L$24*'TE BF'!$L$48</f>
        <v>0</v>
      </c>
      <c r="M24" s="20">
        <f>'TE BE'!$M$24*'TE BF'!$M$48</f>
        <v>0</v>
      </c>
      <c r="N24" s="20">
        <f>'TE BE'!$N$24*'TE BF'!$N$48</f>
        <v>0</v>
      </c>
      <c r="O24" s="20">
        <f>'TE BE'!$O$24*'TE BF'!$O$48</f>
        <v>0</v>
      </c>
      <c r="P24" s="20">
        <f>'TE BE'!$P$24*'TE BF'!$P$48</f>
        <v>0</v>
      </c>
      <c r="Q24" s="20">
        <f>SUM($L$24:$P$24)</f>
        <v>0</v>
      </c>
      <c r="R24" s="20">
        <f>'TE BE'!$R$24*'TE BF'!$R$48</f>
        <v>0</v>
      </c>
      <c r="S24" s="20">
        <f>SUM($R$24:$R$24)</f>
        <v>0</v>
      </c>
      <c r="T24" s="20">
        <f>'TE BE'!$T$24*'TE BF'!$T$48</f>
        <v>0</v>
      </c>
      <c r="U24" s="20">
        <f>'TE BE'!$U$24*'TE BF'!$U$48</f>
        <v>0</v>
      </c>
      <c r="V24" s="20">
        <f>'TE BE'!$V$24*'TE BF'!$V$48</f>
        <v>0</v>
      </c>
      <c r="W24" s="20">
        <f>SUM($T$24:$V$24)</f>
        <v>0</v>
      </c>
      <c r="X24" s="20">
        <f>'TE BE'!$AB$24*'TE BF'!$X$48</f>
        <v>0</v>
      </c>
      <c r="Y24" s="20">
        <f>SUM($X$24:$X$24)</f>
        <v>0</v>
      </c>
      <c r="Z24" s="20">
        <f>'TE BE'!$Z$24*'TE BF'!$Z$48</f>
        <v>0</v>
      </c>
      <c r="AA24" s="20">
        <f>SUM($Z$24:$Z$24)</f>
        <v>0</v>
      </c>
      <c r="AB24" s="20">
        <f>SUMIF($L$4:$AA$4,"SUBTOTAL",$L$24:$AA$24)</f>
        <v>0</v>
      </c>
    </row>
    <row r="25" spans="1:28" ht="11.25" customHeight="1" x14ac:dyDescent="0.3">
      <c r="A25" s="96"/>
      <c r="B25" s="96"/>
      <c r="C25" s="96"/>
      <c r="D25" s="96"/>
      <c r="E25" s="96"/>
      <c r="F25" s="96"/>
      <c r="G25" s="23" t="s">
        <v>81</v>
      </c>
      <c r="H25" s="23" t="s">
        <v>69</v>
      </c>
      <c r="I25" s="23">
        <f>'MERCADO TE'!$U$22</f>
        <v>0</v>
      </c>
      <c r="J25" s="15"/>
      <c r="L25" s="20">
        <f>'TE BE'!$L$25*'TE BF'!$L$48</f>
        <v>0</v>
      </c>
      <c r="M25" s="20">
        <f>'TE BE'!$M$25*'TE BF'!$M$48</f>
        <v>0</v>
      </c>
      <c r="N25" s="20">
        <f>'TE BE'!$N$25*'TE BF'!$N$48</f>
        <v>0</v>
      </c>
      <c r="O25" s="20">
        <f>'TE BE'!$O$25*'TE BF'!$O$48</f>
        <v>0</v>
      </c>
      <c r="P25" s="20">
        <f>'TE BE'!$P$25*'TE BF'!$P$48</f>
        <v>0</v>
      </c>
      <c r="Q25" s="20">
        <f>SUM($L$25:$P$25)</f>
        <v>0</v>
      </c>
      <c r="R25" s="20">
        <f>'TE BE'!$R$25*'TE BF'!$R$48</f>
        <v>0</v>
      </c>
      <c r="S25" s="20">
        <f>SUM($R$25:$R$25)</f>
        <v>0</v>
      </c>
      <c r="T25" s="20">
        <f>'TE BE'!$T$25*'TE BF'!$T$48</f>
        <v>0</v>
      </c>
      <c r="U25" s="20">
        <f>'TE BE'!$U$25*'TE BF'!$U$48</f>
        <v>0</v>
      </c>
      <c r="V25" s="20">
        <f>'TE BE'!$V$25*'TE BF'!$V$48</f>
        <v>0</v>
      </c>
      <c r="W25" s="20">
        <f>SUM($T$25:$V$25)</f>
        <v>0</v>
      </c>
      <c r="X25" s="20">
        <f>'TE BE'!$AB$25*'TE BF'!$X$48</f>
        <v>0</v>
      </c>
      <c r="Y25" s="20">
        <f>SUM($X$25:$X$25)</f>
        <v>0</v>
      </c>
      <c r="Z25" s="20">
        <f>'TE BE'!$Z$25*'TE BF'!$Z$48</f>
        <v>0</v>
      </c>
      <c r="AA25" s="20">
        <f>SUM($Z$25:$Z$25)</f>
        <v>0</v>
      </c>
      <c r="AB25" s="20">
        <f>SUMIF($L$4:$AA$4,"SUBTOTAL",$L$25:$AA$25)</f>
        <v>0</v>
      </c>
    </row>
    <row r="26" spans="1:28" ht="11.25" customHeight="1" x14ac:dyDescent="0.3">
      <c r="A26" s="96"/>
      <c r="B26" s="96"/>
      <c r="C26" s="96"/>
      <c r="D26" s="96"/>
      <c r="E26" s="96"/>
      <c r="F26" s="96"/>
      <c r="G26" s="23" t="s">
        <v>71</v>
      </c>
      <c r="H26" s="23" t="s">
        <v>69</v>
      </c>
      <c r="I26" s="23">
        <f>'MERCADO TE'!$U$23</f>
        <v>0</v>
      </c>
      <c r="J26" s="15"/>
      <c r="L26" s="20">
        <f>'TE BE'!$L$26*'TE BF'!$L$48</f>
        <v>0</v>
      </c>
      <c r="M26" s="20">
        <f>'TE BE'!$M$26*'TE BF'!$M$48</f>
        <v>0</v>
      </c>
      <c r="N26" s="20">
        <f>'TE BE'!$N$26*'TE BF'!$N$48</f>
        <v>0</v>
      </c>
      <c r="O26" s="20">
        <f>'TE BE'!$O$26*'TE BF'!$O$48</f>
        <v>0</v>
      </c>
      <c r="P26" s="20">
        <f>'TE BE'!$P$26*'TE BF'!$P$48</f>
        <v>0</v>
      </c>
      <c r="Q26" s="20">
        <f>SUM($L$26:$P$26)</f>
        <v>0</v>
      </c>
      <c r="R26" s="20">
        <f>'TE BE'!$R$26*'TE BF'!$R$48</f>
        <v>0</v>
      </c>
      <c r="S26" s="20">
        <f>SUM($R$26:$R$26)</f>
        <v>0</v>
      </c>
      <c r="T26" s="20">
        <f>'TE BE'!$T$26*'TE BF'!$T$48</f>
        <v>0</v>
      </c>
      <c r="U26" s="20">
        <f>'TE BE'!$U$26*'TE BF'!$U$48</f>
        <v>0</v>
      </c>
      <c r="V26" s="20">
        <f>'TE BE'!$V$26*'TE BF'!$V$48</f>
        <v>0</v>
      </c>
      <c r="W26" s="20">
        <f>SUM($T$26:$V$26)</f>
        <v>0</v>
      </c>
      <c r="X26" s="20">
        <f>'TE BE'!$AB$26*'TE BF'!$X$48</f>
        <v>0</v>
      </c>
      <c r="Y26" s="20">
        <f>SUM($X$26:$X$26)</f>
        <v>0</v>
      </c>
      <c r="Z26" s="20">
        <f>'TE BE'!$Z$26*'TE BF'!$Z$48</f>
        <v>0</v>
      </c>
      <c r="AA26" s="20">
        <f>SUM($Z$26:$Z$26)</f>
        <v>0</v>
      </c>
      <c r="AB26" s="20">
        <f>SUMIF($L$4:$AA$4,"SUBTOTAL",$L$26:$AA$26)</f>
        <v>0</v>
      </c>
    </row>
    <row r="27" spans="1:28" ht="11.25" customHeight="1" x14ac:dyDescent="0.3">
      <c r="A27" s="96"/>
      <c r="B27" s="22" t="s">
        <v>82</v>
      </c>
      <c r="C27" s="22" t="s">
        <v>43</v>
      </c>
      <c r="D27" s="22" t="s">
        <v>85</v>
      </c>
      <c r="E27" s="22" t="s">
        <v>25</v>
      </c>
      <c r="F27" s="22" t="s">
        <v>25</v>
      </c>
      <c r="G27" s="23" t="s">
        <v>75</v>
      </c>
      <c r="H27" s="23" t="s">
        <v>69</v>
      </c>
      <c r="I27" s="23">
        <f>'MERCADO TE'!$U$24</f>
        <v>0</v>
      </c>
      <c r="J27" s="15"/>
      <c r="L27" s="20">
        <f>'TE BE'!$L$27*'TE BF'!$L$48</f>
        <v>0</v>
      </c>
      <c r="M27" s="20">
        <f>'TE BE'!$M$27*'TE BF'!$M$48</f>
        <v>0</v>
      </c>
      <c r="N27" s="20">
        <f>'TE BE'!$N$27*'TE BF'!$N$48</f>
        <v>0</v>
      </c>
      <c r="O27" s="20">
        <f>'TE BE'!$O$27*'TE BF'!$O$48</f>
        <v>0</v>
      </c>
      <c r="P27" s="20">
        <f>'TE BE'!$P$27*'TE BF'!$P$48</f>
        <v>0</v>
      </c>
      <c r="Q27" s="20">
        <f>SUM($L$27:$P$27)</f>
        <v>0</v>
      </c>
      <c r="R27" s="20">
        <f>'TE BE'!$R$27*'TE BF'!$R$48</f>
        <v>0</v>
      </c>
      <c r="S27" s="20">
        <f>SUM($R$27:$R$27)</f>
        <v>0</v>
      </c>
      <c r="T27" s="20">
        <f>'TE BE'!$T$27*'TE BF'!$T$48</f>
        <v>0</v>
      </c>
      <c r="U27" s="20">
        <f>'TE BE'!$U$27*'TE BF'!$U$48</f>
        <v>0</v>
      </c>
      <c r="V27" s="20">
        <f>'TE BE'!$V$27*'TE BF'!$V$48</f>
        <v>0</v>
      </c>
      <c r="W27" s="20">
        <f>SUM($T$27:$V$27)</f>
        <v>0</v>
      </c>
      <c r="X27" s="20">
        <f>'TE BE'!$AB$27*'TE BF'!$X$48</f>
        <v>0</v>
      </c>
      <c r="Y27" s="20">
        <f>SUM($X$27:$X$27)</f>
        <v>0</v>
      </c>
      <c r="Z27" s="20">
        <f>'TE BE'!$Z$27*'TE BF'!$Z$48</f>
        <v>0</v>
      </c>
      <c r="AA27" s="20">
        <f>SUM($Z$27:$Z$27)</f>
        <v>0</v>
      </c>
      <c r="AB27" s="20">
        <f>SUMIF($L$4:$AA$4,"SUBTOTAL",$L$27:$AA$27)</f>
        <v>0</v>
      </c>
    </row>
    <row r="28" spans="1:28" ht="11.25" customHeight="1" x14ac:dyDescent="0.3">
      <c r="A28" s="96"/>
      <c r="B28" s="96" t="s">
        <v>68</v>
      </c>
      <c r="C28" s="96" t="s">
        <v>43</v>
      </c>
      <c r="D28" s="96" t="s">
        <v>86</v>
      </c>
      <c r="E28" s="96" t="s">
        <v>25</v>
      </c>
      <c r="F28" s="96" t="s">
        <v>25</v>
      </c>
      <c r="G28" s="23" t="s">
        <v>70</v>
      </c>
      <c r="H28" s="23" t="s">
        <v>69</v>
      </c>
      <c r="I28" s="23">
        <f>'MERCADO TE'!$U$25</f>
        <v>0</v>
      </c>
      <c r="J28" s="15"/>
      <c r="L28" s="20">
        <f>'TE BE'!$L$28*'TE BF'!$L$48</f>
        <v>0</v>
      </c>
      <c r="M28" s="20">
        <f>'TE BE'!$M$28*'TE BF'!$M$48</f>
        <v>0</v>
      </c>
      <c r="N28" s="20">
        <f>'TE BE'!$N$28*'TE BF'!$N$48</f>
        <v>0</v>
      </c>
      <c r="O28" s="20">
        <f>'TE BE'!$O$28*'TE BF'!$O$48</f>
        <v>0</v>
      </c>
      <c r="P28" s="20">
        <f>'TE BE'!$P$28*'TE BF'!$P$48</f>
        <v>0</v>
      </c>
      <c r="Q28" s="20">
        <f>SUM($L$28:$P$28)</f>
        <v>0</v>
      </c>
      <c r="R28" s="20">
        <f>'TE BE'!$R$28*'TE BF'!$R$48</f>
        <v>0</v>
      </c>
      <c r="S28" s="20">
        <f>SUM($R$28:$R$28)</f>
        <v>0</v>
      </c>
      <c r="T28" s="20">
        <f>'TE BE'!$T$28*'TE BF'!$T$48</f>
        <v>0</v>
      </c>
      <c r="U28" s="20">
        <f>'TE BE'!$U$28*'TE BF'!$U$48</f>
        <v>0</v>
      </c>
      <c r="V28" s="20">
        <f>'TE BE'!$V$28*'TE BF'!$V$48</f>
        <v>0</v>
      </c>
      <c r="W28" s="20">
        <f>SUM($T$28:$V$28)</f>
        <v>0</v>
      </c>
      <c r="X28" s="20">
        <f>'TE BE'!$AB$28*'TE BF'!$X$48</f>
        <v>0</v>
      </c>
      <c r="Y28" s="20">
        <f>SUM($X$28:$X$28)</f>
        <v>0</v>
      </c>
      <c r="Z28" s="20">
        <f>'TE BE'!$Z$28*'TE BF'!$Z$48</f>
        <v>0</v>
      </c>
      <c r="AA28" s="20">
        <f>SUM($Z$28:$Z$28)</f>
        <v>0</v>
      </c>
      <c r="AB28" s="20">
        <f>SUMIF($L$4:$AA$4,"SUBTOTAL",$L$28:$AA$28)</f>
        <v>0</v>
      </c>
    </row>
    <row r="29" spans="1:28" ht="11.25" customHeight="1" x14ac:dyDescent="0.3">
      <c r="A29" s="96"/>
      <c r="B29" s="96"/>
      <c r="C29" s="96"/>
      <c r="D29" s="96"/>
      <c r="E29" s="96"/>
      <c r="F29" s="96"/>
      <c r="G29" s="23" t="s">
        <v>81</v>
      </c>
      <c r="H29" s="23" t="s">
        <v>69</v>
      </c>
      <c r="I29" s="23">
        <f>'MERCADO TE'!$U$26</f>
        <v>0</v>
      </c>
      <c r="J29" s="15"/>
      <c r="L29" s="20">
        <f>'TE BE'!$L$29*'TE BF'!$L$48</f>
        <v>0</v>
      </c>
      <c r="M29" s="20">
        <f>'TE BE'!$M$29*'TE BF'!$M$48</f>
        <v>0</v>
      </c>
      <c r="N29" s="20">
        <f>'TE BE'!$N$29*'TE BF'!$N$48</f>
        <v>0</v>
      </c>
      <c r="O29" s="20">
        <f>'TE BE'!$O$29*'TE BF'!$O$48</f>
        <v>0</v>
      </c>
      <c r="P29" s="20">
        <f>'TE BE'!$P$29*'TE BF'!$P$48</f>
        <v>0</v>
      </c>
      <c r="Q29" s="20">
        <f>SUM($L$29:$P$29)</f>
        <v>0</v>
      </c>
      <c r="R29" s="20">
        <f>'TE BE'!$R$29*'TE BF'!$R$48</f>
        <v>0</v>
      </c>
      <c r="S29" s="20">
        <f>SUM($R$29:$R$29)</f>
        <v>0</v>
      </c>
      <c r="T29" s="20">
        <f>'TE BE'!$T$29*'TE BF'!$T$48</f>
        <v>0</v>
      </c>
      <c r="U29" s="20">
        <f>'TE BE'!$U$29*'TE BF'!$U$48</f>
        <v>0</v>
      </c>
      <c r="V29" s="20">
        <f>'TE BE'!$V$29*'TE BF'!$V$48</f>
        <v>0</v>
      </c>
      <c r="W29" s="20">
        <f>SUM($T$29:$V$29)</f>
        <v>0</v>
      </c>
      <c r="X29" s="20">
        <f>'TE BE'!$AB$29*'TE BF'!$X$48</f>
        <v>0</v>
      </c>
      <c r="Y29" s="20">
        <f>SUM($X$29:$X$29)</f>
        <v>0</v>
      </c>
      <c r="Z29" s="20">
        <f>'TE BE'!$Z$29*'TE BF'!$Z$48</f>
        <v>0</v>
      </c>
      <c r="AA29" s="20">
        <f>SUM($Z$29:$Z$29)</f>
        <v>0</v>
      </c>
      <c r="AB29" s="20">
        <f>SUMIF($L$4:$AA$4,"SUBTOTAL",$L$29:$AA$29)</f>
        <v>0</v>
      </c>
    </row>
    <row r="30" spans="1:28" ht="11.25" customHeight="1" x14ac:dyDescent="0.3">
      <c r="A30" s="96"/>
      <c r="B30" s="96"/>
      <c r="C30" s="96"/>
      <c r="D30" s="96"/>
      <c r="E30" s="96"/>
      <c r="F30" s="96"/>
      <c r="G30" s="23" t="s">
        <v>71</v>
      </c>
      <c r="H30" s="23" t="s">
        <v>69</v>
      </c>
      <c r="I30" s="23">
        <f>'MERCADO TE'!$U$27</f>
        <v>0</v>
      </c>
      <c r="J30" s="15"/>
      <c r="L30" s="20">
        <f>'TE BE'!$L$30*'TE BF'!$L$48</f>
        <v>0</v>
      </c>
      <c r="M30" s="20">
        <f>'TE BE'!$M$30*'TE BF'!$M$48</f>
        <v>0</v>
      </c>
      <c r="N30" s="20">
        <f>'TE BE'!$N$30*'TE BF'!$N$48</f>
        <v>0</v>
      </c>
      <c r="O30" s="20">
        <f>'TE BE'!$O$30*'TE BF'!$O$48</f>
        <v>0</v>
      </c>
      <c r="P30" s="20">
        <f>'TE BE'!$P$30*'TE BF'!$P$48</f>
        <v>0</v>
      </c>
      <c r="Q30" s="20">
        <f>SUM($L$30:$P$30)</f>
        <v>0</v>
      </c>
      <c r="R30" s="20">
        <f>'TE BE'!$R$30*'TE BF'!$R$48</f>
        <v>0</v>
      </c>
      <c r="S30" s="20">
        <f>SUM($R$30:$R$30)</f>
        <v>0</v>
      </c>
      <c r="T30" s="20">
        <f>'TE BE'!$T$30*'TE BF'!$T$48</f>
        <v>0</v>
      </c>
      <c r="U30" s="20">
        <f>'TE BE'!$U$30*'TE BF'!$U$48</f>
        <v>0</v>
      </c>
      <c r="V30" s="20">
        <f>'TE BE'!$V$30*'TE BF'!$V$48</f>
        <v>0</v>
      </c>
      <c r="W30" s="20">
        <f>SUM($T$30:$V$30)</f>
        <v>0</v>
      </c>
      <c r="X30" s="20">
        <f>'TE BE'!$AB$30*'TE BF'!$X$48</f>
        <v>0</v>
      </c>
      <c r="Y30" s="20">
        <f>SUM($X$30:$X$30)</f>
        <v>0</v>
      </c>
      <c r="Z30" s="20">
        <f>'TE BE'!$Z$30*'TE BF'!$Z$48</f>
        <v>0</v>
      </c>
      <c r="AA30" s="20">
        <f>SUM($Z$30:$Z$30)</f>
        <v>0</v>
      </c>
      <c r="AB30" s="20">
        <f>SUMIF($L$4:$AA$4,"SUBTOTAL",$L$30:$AA$30)</f>
        <v>0</v>
      </c>
    </row>
    <row r="31" spans="1:28" ht="11.25" customHeight="1" x14ac:dyDescent="0.3">
      <c r="A31" s="96"/>
      <c r="B31" s="22" t="s">
        <v>82</v>
      </c>
      <c r="C31" s="22" t="s">
        <v>43</v>
      </c>
      <c r="D31" s="22" t="s">
        <v>86</v>
      </c>
      <c r="E31" s="22" t="s">
        <v>25</v>
      </c>
      <c r="F31" s="22" t="s">
        <v>25</v>
      </c>
      <c r="G31" s="23" t="s">
        <v>75</v>
      </c>
      <c r="H31" s="23" t="s">
        <v>69</v>
      </c>
      <c r="I31" s="23">
        <f>'MERCADO TE'!$U$28</f>
        <v>0</v>
      </c>
      <c r="J31" s="15"/>
      <c r="L31" s="20">
        <f>'TE BE'!$L$31*'TE BF'!$L$48</f>
        <v>0</v>
      </c>
      <c r="M31" s="20">
        <f>'TE BE'!$M$31*'TE BF'!$M$48</f>
        <v>0</v>
      </c>
      <c r="N31" s="20">
        <f>'TE BE'!$N$31*'TE BF'!$N$48</f>
        <v>0</v>
      </c>
      <c r="O31" s="20">
        <f>'TE BE'!$O$31*'TE BF'!$O$48</f>
        <v>0</v>
      </c>
      <c r="P31" s="20">
        <f>'TE BE'!$P$31*'TE BF'!$P$48</f>
        <v>0</v>
      </c>
      <c r="Q31" s="20">
        <f>SUM($L$31:$P$31)</f>
        <v>0</v>
      </c>
      <c r="R31" s="20">
        <f>'TE BE'!$R$31*'TE BF'!$R$48</f>
        <v>0</v>
      </c>
      <c r="S31" s="20">
        <f>SUM($R$31:$R$31)</f>
        <v>0</v>
      </c>
      <c r="T31" s="20">
        <f>'TE BE'!$T$31*'TE BF'!$T$48</f>
        <v>0</v>
      </c>
      <c r="U31" s="20">
        <f>'TE BE'!$U$31*'TE BF'!$U$48</f>
        <v>0</v>
      </c>
      <c r="V31" s="20">
        <f>'TE BE'!$V$31*'TE BF'!$V$48</f>
        <v>0</v>
      </c>
      <c r="W31" s="20">
        <f>SUM($T$31:$V$31)</f>
        <v>0</v>
      </c>
      <c r="X31" s="20">
        <f>'TE BE'!$AB$31*'TE BF'!$X$48</f>
        <v>0</v>
      </c>
      <c r="Y31" s="20">
        <f>SUM($X$31:$X$31)</f>
        <v>0</v>
      </c>
      <c r="Z31" s="20">
        <f>'TE BE'!$Z$31*'TE BF'!$Z$48</f>
        <v>0</v>
      </c>
      <c r="AA31" s="20">
        <f>SUM($Z$31:$Z$31)</f>
        <v>0</v>
      </c>
      <c r="AB31" s="20">
        <f>SUMIF($L$4:$AA$4,"SUBTOTAL",$L$31:$AA$31)</f>
        <v>0</v>
      </c>
    </row>
    <row r="32" spans="1:28" ht="11.25" customHeight="1" x14ac:dyDescent="0.3">
      <c r="A32" s="96"/>
      <c r="B32" s="96" t="s">
        <v>83</v>
      </c>
      <c r="C32" s="96" t="s">
        <v>43</v>
      </c>
      <c r="D32" s="22" t="s">
        <v>25</v>
      </c>
      <c r="E32" s="22" t="s">
        <v>25</v>
      </c>
      <c r="F32" s="22" t="s">
        <v>25</v>
      </c>
      <c r="G32" s="23" t="s">
        <v>75</v>
      </c>
      <c r="H32" s="23" t="s">
        <v>69</v>
      </c>
      <c r="I32" s="23">
        <f>'MERCADO TE'!$U$29</f>
        <v>0</v>
      </c>
      <c r="J32" s="15"/>
      <c r="L32" s="20">
        <f>'TE BE'!$L$32*'TE BF'!$L$48</f>
        <v>0</v>
      </c>
      <c r="M32" s="20">
        <f>'TE BE'!$M$32*'TE BF'!$M$48</f>
        <v>0</v>
      </c>
      <c r="N32" s="20">
        <f>'TE BE'!$N$32*'TE BF'!$N$48</f>
        <v>0</v>
      </c>
      <c r="O32" s="20">
        <f>'TE BE'!$O$32*'TE BF'!$O$48</f>
        <v>0</v>
      </c>
      <c r="P32" s="20">
        <f>'TE BE'!$P$32*'TE BF'!$P$48</f>
        <v>0</v>
      </c>
      <c r="Q32" s="20">
        <f>SUM($L$32:$P$32)</f>
        <v>0</v>
      </c>
      <c r="R32" s="20">
        <f>'TE BE'!$R$32*'TE BF'!$R$48</f>
        <v>0</v>
      </c>
      <c r="S32" s="20">
        <f>SUM($R$32:$R$32)</f>
        <v>0</v>
      </c>
      <c r="T32" s="20">
        <f>'TE BE'!$T$32*'TE BF'!$T$48</f>
        <v>0</v>
      </c>
      <c r="U32" s="20">
        <f>'TE BE'!$U$32*'TE BF'!$U$48</f>
        <v>0</v>
      </c>
      <c r="V32" s="20">
        <f>'TE BE'!$V$32*'TE BF'!$V$48</f>
        <v>0</v>
      </c>
      <c r="W32" s="20">
        <f>SUM($T$32:$V$32)</f>
        <v>0</v>
      </c>
      <c r="X32" s="20">
        <f>'TE BE'!$AB$32*'TE BF'!$X$48</f>
        <v>0</v>
      </c>
      <c r="Y32" s="20">
        <f>SUM($X$32:$X$32)</f>
        <v>0</v>
      </c>
      <c r="Z32" s="20">
        <f>'TE BE'!$Z$32*'TE BF'!$Z$48</f>
        <v>0</v>
      </c>
      <c r="AA32" s="20">
        <f>SUM($Z$32:$Z$32)</f>
        <v>0</v>
      </c>
      <c r="AB32" s="20">
        <f>SUMIF($L$4:$AA$4,"SUBTOTAL",$L$32:$AA$32)</f>
        <v>0</v>
      </c>
    </row>
    <row r="33" spans="1:28" ht="11.25" customHeight="1" x14ac:dyDescent="0.3">
      <c r="A33" s="96"/>
      <c r="B33" s="96"/>
      <c r="C33" s="96"/>
      <c r="D33" s="22" t="s">
        <v>85</v>
      </c>
      <c r="E33" s="22" t="s">
        <v>25</v>
      </c>
      <c r="F33" s="22" t="s">
        <v>25</v>
      </c>
      <c r="G33" s="23" t="s">
        <v>75</v>
      </c>
      <c r="H33" s="23" t="s">
        <v>69</v>
      </c>
      <c r="I33" s="23">
        <f>'MERCADO TE'!$U$30</f>
        <v>0</v>
      </c>
      <c r="J33" s="15"/>
      <c r="L33" s="20">
        <f>'TE BE'!$L$33*'TE BF'!$L$48</f>
        <v>0</v>
      </c>
      <c r="M33" s="20">
        <f>'TE BE'!$M$33*'TE BF'!$M$48</f>
        <v>0</v>
      </c>
      <c r="N33" s="20">
        <f>'TE BE'!$N$33*'TE BF'!$N$48</f>
        <v>0</v>
      </c>
      <c r="O33" s="20">
        <f>'TE BE'!$O$33*'TE BF'!$O$48</f>
        <v>0</v>
      </c>
      <c r="P33" s="20">
        <f>'TE BE'!$P$33*'TE BF'!$P$48</f>
        <v>0</v>
      </c>
      <c r="Q33" s="20">
        <f>SUM($L$33:$P$33)</f>
        <v>0</v>
      </c>
      <c r="R33" s="20">
        <f>'TE BE'!$R$33*'TE BF'!$R$48</f>
        <v>0</v>
      </c>
      <c r="S33" s="20">
        <f>SUM($R$33:$R$33)</f>
        <v>0</v>
      </c>
      <c r="T33" s="20">
        <f>'TE BE'!$T$33*'TE BF'!$T$48</f>
        <v>0</v>
      </c>
      <c r="U33" s="20">
        <f>'TE BE'!$U$33*'TE BF'!$U$48</f>
        <v>0</v>
      </c>
      <c r="V33" s="20">
        <f>'TE BE'!$V$33*'TE BF'!$V$48</f>
        <v>0</v>
      </c>
      <c r="W33" s="20">
        <f>SUM($T$33:$V$33)</f>
        <v>0</v>
      </c>
      <c r="X33" s="20">
        <f>'TE BE'!$AB$33*'TE BF'!$X$48</f>
        <v>0</v>
      </c>
      <c r="Y33" s="20">
        <f>SUM($X$33:$X$33)</f>
        <v>0</v>
      </c>
      <c r="Z33" s="20">
        <f>'TE BE'!$Z$33*'TE BF'!$Z$48</f>
        <v>0</v>
      </c>
      <c r="AA33" s="20">
        <f>SUM($Z$33:$Z$33)</f>
        <v>0</v>
      </c>
      <c r="AB33" s="20">
        <f>SUMIF($L$4:$AA$4,"SUBTOTAL",$L$33:$AA$33)</f>
        <v>0</v>
      </c>
    </row>
    <row r="34" spans="1:28" ht="11.25" customHeight="1" x14ac:dyDescent="0.3">
      <c r="A34" s="96"/>
      <c r="B34" s="96"/>
      <c r="C34" s="96"/>
      <c r="D34" s="22" t="s">
        <v>86</v>
      </c>
      <c r="E34" s="22" t="s">
        <v>25</v>
      </c>
      <c r="F34" s="22" t="s">
        <v>25</v>
      </c>
      <c r="G34" s="23" t="s">
        <v>75</v>
      </c>
      <c r="H34" s="23" t="s">
        <v>69</v>
      </c>
      <c r="I34" s="23">
        <f>'MERCADO TE'!$U$31</f>
        <v>0</v>
      </c>
      <c r="J34" s="15"/>
      <c r="L34" s="20">
        <f>'TE BE'!$L$34*'TE BF'!$L$48</f>
        <v>0</v>
      </c>
      <c r="M34" s="20">
        <f>'TE BE'!$M$34*'TE BF'!$M$48</f>
        <v>0</v>
      </c>
      <c r="N34" s="20">
        <f>'TE BE'!$N$34*'TE BF'!$N$48</f>
        <v>0</v>
      </c>
      <c r="O34" s="20">
        <f>'TE BE'!$O$34*'TE BF'!$O$48</f>
        <v>0</v>
      </c>
      <c r="P34" s="20">
        <f>'TE BE'!$P$34*'TE BF'!$P$48</f>
        <v>0</v>
      </c>
      <c r="Q34" s="20">
        <f>SUM($L$34:$P$34)</f>
        <v>0</v>
      </c>
      <c r="R34" s="20">
        <f>'TE BE'!$R$34*'TE BF'!$R$48</f>
        <v>0</v>
      </c>
      <c r="S34" s="20">
        <f>SUM($R$34:$R$34)</f>
        <v>0</v>
      </c>
      <c r="T34" s="20">
        <f>'TE BE'!$T$34*'TE BF'!$T$48</f>
        <v>0</v>
      </c>
      <c r="U34" s="20">
        <f>'TE BE'!$U$34*'TE BF'!$U$48</f>
        <v>0</v>
      </c>
      <c r="V34" s="20">
        <f>'TE BE'!$V$34*'TE BF'!$V$48</f>
        <v>0</v>
      </c>
      <c r="W34" s="20">
        <f>SUM($T$34:$V$34)</f>
        <v>0</v>
      </c>
      <c r="X34" s="20">
        <f>'TE BE'!$AB$34*'TE BF'!$X$48</f>
        <v>0</v>
      </c>
      <c r="Y34" s="20">
        <f>SUM($X$34:$X$34)</f>
        <v>0</v>
      </c>
      <c r="Z34" s="20">
        <f>'TE BE'!$Z$34*'TE BF'!$Z$48</f>
        <v>0</v>
      </c>
      <c r="AA34" s="20">
        <f>SUM($Z$34:$Z$34)</f>
        <v>0</v>
      </c>
      <c r="AB34" s="20">
        <f>SUMIF($L$4:$AA$4,"SUBTOTAL",$L$34:$AA$34)</f>
        <v>0</v>
      </c>
    </row>
    <row r="35" spans="1:28" ht="11.25" customHeight="1" x14ac:dyDescent="0.3">
      <c r="A35" s="96" t="s">
        <v>33</v>
      </c>
      <c r="B35" s="96" t="s">
        <v>68</v>
      </c>
      <c r="C35" s="96" t="s">
        <v>25</v>
      </c>
      <c r="D35" s="96" t="s">
        <v>25</v>
      </c>
      <c r="E35" s="96" t="s">
        <v>25</v>
      </c>
      <c r="F35" s="96" t="s">
        <v>25</v>
      </c>
      <c r="G35" s="23" t="s">
        <v>70</v>
      </c>
      <c r="H35" s="23" t="s">
        <v>69</v>
      </c>
      <c r="I35" s="23">
        <f>'MERCADO TE'!$U$32</f>
        <v>1.0529999999999999</v>
      </c>
      <c r="J35" s="15"/>
      <c r="L35" s="20">
        <f>'TE BE'!$L$35*'TE BF'!$L$48</f>
        <v>0</v>
      </c>
      <c r="M35" s="20">
        <f>'TE BE'!$M$35*'TE BF'!$M$48</f>
        <v>0</v>
      </c>
      <c r="N35" s="20">
        <f>'TE BE'!$N$35*'TE BF'!$N$48</f>
        <v>0</v>
      </c>
      <c r="O35" s="20">
        <f>'TE BE'!$O$35*'TE BF'!$O$48</f>
        <v>0</v>
      </c>
      <c r="P35" s="20">
        <f>'TE BE'!$P$35*'TE BF'!$P$48</f>
        <v>0</v>
      </c>
      <c r="Q35" s="20">
        <f>SUM($L$35:$P$35)</f>
        <v>0</v>
      </c>
      <c r="R35" s="20">
        <f>'TE BE'!$R$35*'TE BF'!$R$48</f>
        <v>0</v>
      </c>
      <c r="S35" s="20">
        <f>SUM($R$35:$R$35)</f>
        <v>0</v>
      </c>
      <c r="T35" s="20">
        <f>'TE BE'!$T$35*'TE BF'!$T$48</f>
        <v>0</v>
      </c>
      <c r="U35" s="20">
        <f>'TE BE'!$U$35*'TE BF'!$U$48</f>
        <v>0</v>
      </c>
      <c r="V35" s="20">
        <f>'TE BE'!$V$35*'TE BF'!$V$48</f>
        <v>0</v>
      </c>
      <c r="W35" s="20">
        <f>SUM($T$35:$V$35)</f>
        <v>0</v>
      </c>
      <c r="X35" s="20">
        <f>'TE BE'!$AB$35*'TE BF'!$X$48</f>
        <v>0</v>
      </c>
      <c r="Y35" s="20">
        <f>SUM($X$35:$X$35)</f>
        <v>0</v>
      </c>
      <c r="Z35" s="20">
        <f>'TE BE'!$Z$35*'TE BF'!$Z$48</f>
        <v>0</v>
      </c>
      <c r="AA35" s="20">
        <f>SUM($Z$35:$Z$35)</f>
        <v>0</v>
      </c>
      <c r="AB35" s="20">
        <f>SUMIF($L$4:$AA$4,"SUBTOTAL",$L$35:$AA$35)</f>
        <v>0</v>
      </c>
    </row>
    <row r="36" spans="1:28" ht="11.25" customHeight="1" x14ac:dyDescent="0.3">
      <c r="A36" s="96"/>
      <c r="B36" s="96"/>
      <c r="C36" s="96"/>
      <c r="D36" s="96"/>
      <c r="E36" s="96"/>
      <c r="F36" s="96"/>
      <c r="G36" s="23" t="s">
        <v>81</v>
      </c>
      <c r="H36" s="23" t="s">
        <v>69</v>
      </c>
      <c r="I36" s="23">
        <f>'MERCADO TE'!$U$33</f>
        <v>2.1969999999999996</v>
      </c>
      <c r="J36" s="15"/>
      <c r="L36" s="20">
        <f>'TE BE'!$L$36*'TE BF'!$L$48</f>
        <v>0</v>
      </c>
      <c r="M36" s="20">
        <f>'TE BE'!$M$36*'TE BF'!$M$48</f>
        <v>0</v>
      </c>
      <c r="N36" s="20">
        <f>'TE BE'!$N$36*'TE BF'!$N$48</f>
        <v>0</v>
      </c>
      <c r="O36" s="20">
        <f>'TE BE'!$O$36*'TE BF'!$O$48</f>
        <v>0</v>
      </c>
      <c r="P36" s="20">
        <f>'TE BE'!$P$36*'TE BF'!$P$48</f>
        <v>0</v>
      </c>
      <c r="Q36" s="20">
        <f>SUM($L$36:$P$36)</f>
        <v>0</v>
      </c>
      <c r="R36" s="20">
        <f>'TE BE'!$R$36*'TE BF'!$R$48</f>
        <v>0</v>
      </c>
      <c r="S36" s="20">
        <f>SUM($R$36:$R$36)</f>
        <v>0</v>
      </c>
      <c r="T36" s="20">
        <f>'TE BE'!$T$36*'TE BF'!$T$48</f>
        <v>0</v>
      </c>
      <c r="U36" s="20">
        <f>'TE BE'!$U$36*'TE BF'!$U$48</f>
        <v>0</v>
      </c>
      <c r="V36" s="20">
        <f>'TE BE'!$V$36*'TE BF'!$V$48</f>
        <v>0</v>
      </c>
      <c r="W36" s="20">
        <f>SUM($T$36:$V$36)</f>
        <v>0</v>
      </c>
      <c r="X36" s="20">
        <f>'TE BE'!$AB$36*'TE BF'!$X$48</f>
        <v>0</v>
      </c>
      <c r="Y36" s="20">
        <f>SUM($X$36:$X$36)</f>
        <v>0</v>
      </c>
      <c r="Z36" s="20">
        <f>'TE BE'!$Z$36*'TE BF'!$Z$48</f>
        <v>0</v>
      </c>
      <c r="AA36" s="20">
        <f>SUM($Z$36:$Z$36)</f>
        <v>0</v>
      </c>
      <c r="AB36" s="20">
        <f>SUMIF($L$4:$AA$4,"SUBTOTAL",$L$36:$AA$36)</f>
        <v>0</v>
      </c>
    </row>
    <row r="37" spans="1:28" ht="11.25" customHeight="1" x14ac:dyDescent="0.3">
      <c r="A37" s="96"/>
      <c r="B37" s="96"/>
      <c r="C37" s="96"/>
      <c r="D37" s="96"/>
      <c r="E37" s="96"/>
      <c r="F37" s="96"/>
      <c r="G37" s="23" t="s">
        <v>71</v>
      </c>
      <c r="H37" s="23" t="s">
        <v>69</v>
      </c>
      <c r="I37" s="23">
        <f>'MERCADO TE'!$U$34</f>
        <v>373.07</v>
      </c>
      <c r="J37" s="15"/>
      <c r="L37" s="20">
        <f>'TE BE'!$L$37*'TE BF'!$L$48</f>
        <v>0</v>
      </c>
      <c r="M37" s="20">
        <f>'TE BE'!$M$37*'TE BF'!$M$48</f>
        <v>0</v>
      </c>
      <c r="N37" s="20">
        <f>'TE BE'!$N$37*'TE BF'!$N$48</f>
        <v>0</v>
      </c>
      <c r="O37" s="20">
        <f>'TE BE'!$O$37*'TE BF'!$O$48</f>
        <v>0</v>
      </c>
      <c r="P37" s="20">
        <f>'TE BE'!$P$37*'TE BF'!$P$48</f>
        <v>0</v>
      </c>
      <c r="Q37" s="20">
        <f>SUM($L$37:$P$37)</f>
        <v>0</v>
      </c>
      <c r="R37" s="20">
        <f>'TE BE'!$R$37*'TE BF'!$R$48</f>
        <v>0</v>
      </c>
      <c r="S37" s="20">
        <f>SUM($R$37:$R$37)</f>
        <v>0</v>
      </c>
      <c r="T37" s="20">
        <f>'TE BE'!$T$37*'TE BF'!$T$48</f>
        <v>0</v>
      </c>
      <c r="U37" s="20">
        <f>'TE BE'!$U$37*'TE BF'!$U$48</f>
        <v>0</v>
      </c>
      <c r="V37" s="20">
        <f>'TE BE'!$V$37*'TE BF'!$V$48</f>
        <v>0</v>
      </c>
      <c r="W37" s="20">
        <f>SUM($T$37:$V$37)</f>
        <v>0</v>
      </c>
      <c r="X37" s="20">
        <f>'TE BE'!$AB$37*'TE BF'!$X$48</f>
        <v>0</v>
      </c>
      <c r="Y37" s="20">
        <f>SUM($X$37:$X$37)</f>
        <v>0</v>
      </c>
      <c r="Z37" s="20">
        <f>'TE BE'!$Z$37*'TE BF'!$Z$48</f>
        <v>0</v>
      </c>
      <c r="AA37" s="20">
        <f>SUM($Z$37:$Z$37)</f>
        <v>0</v>
      </c>
      <c r="AB37" s="20">
        <f>SUMIF($L$4:$AA$4,"SUBTOTAL",$L$37:$AA$37)</f>
        <v>0</v>
      </c>
    </row>
    <row r="38" spans="1:28" ht="11.25" customHeight="1" x14ac:dyDescent="0.3">
      <c r="A38" s="96"/>
      <c r="B38" s="22" t="s">
        <v>82</v>
      </c>
      <c r="C38" s="22" t="s">
        <v>25</v>
      </c>
      <c r="D38" s="22" t="s">
        <v>25</v>
      </c>
      <c r="E38" s="22" t="s">
        <v>25</v>
      </c>
      <c r="F38" s="22" t="s">
        <v>25</v>
      </c>
      <c r="G38" s="23" t="s">
        <v>75</v>
      </c>
      <c r="H38" s="23" t="s">
        <v>69</v>
      </c>
      <c r="I38" s="23">
        <f>'MERCADO TE'!$U$35</f>
        <v>3199.5530000000003</v>
      </c>
      <c r="J38" s="15"/>
      <c r="L38" s="20">
        <f>'TE BE'!$L$38*'TE BF'!$L$48</f>
        <v>0</v>
      </c>
      <c r="M38" s="20">
        <f>'TE BE'!$M$38*'TE BF'!$M$48</f>
        <v>0</v>
      </c>
      <c r="N38" s="20">
        <f>'TE BE'!$N$38*'TE BF'!$N$48</f>
        <v>0</v>
      </c>
      <c r="O38" s="20">
        <f>'TE BE'!$O$38*'TE BF'!$O$48</f>
        <v>0</v>
      </c>
      <c r="P38" s="20">
        <f>'TE BE'!$P$38*'TE BF'!$P$48</f>
        <v>0</v>
      </c>
      <c r="Q38" s="20">
        <f>SUM($L$38:$P$38)</f>
        <v>0</v>
      </c>
      <c r="R38" s="20">
        <f>'TE BE'!$R$38*'TE BF'!$R$48</f>
        <v>0</v>
      </c>
      <c r="S38" s="20">
        <f>SUM($R$38:$R$38)</f>
        <v>0</v>
      </c>
      <c r="T38" s="20">
        <f>'TE BE'!$T$38*'TE BF'!$T$48</f>
        <v>0</v>
      </c>
      <c r="U38" s="20">
        <f>'TE BE'!$U$38*'TE BF'!$U$48</f>
        <v>0</v>
      </c>
      <c r="V38" s="20">
        <f>'TE BE'!$V$38*'TE BF'!$V$48</f>
        <v>0</v>
      </c>
      <c r="W38" s="20">
        <f>SUM($T$38:$V$38)</f>
        <v>0</v>
      </c>
      <c r="X38" s="20">
        <f>'TE BE'!$AB$38*'TE BF'!$X$48</f>
        <v>0</v>
      </c>
      <c r="Y38" s="20">
        <f>SUM($X$38:$X$38)</f>
        <v>0</v>
      </c>
      <c r="Z38" s="20">
        <f>'TE BE'!$Z$38*'TE BF'!$Z$48</f>
        <v>0</v>
      </c>
      <c r="AA38" s="20">
        <f>SUM($Z$38:$Z$38)</f>
        <v>0</v>
      </c>
      <c r="AB38" s="20">
        <f>SUMIF($L$4:$AA$4,"SUBTOTAL",$L$38:$AA$38)</f>
        <v>0</v>
      </c>
    </row>
    <row r="39" spans="1:28" ht="11.25" customHeight="1" x14ac:dyDescent="0.3">
      <c r="A39" s="96"/>
      <c r="B39" s="22" t="s">
        <v>83</v>
      </c>
      <c r="C39" s="22" t="s">
        <v>25</v>
      </c>
      <c r="D39" s="22" t="s">
        <v>25</v>
      </c>
      <c r="E39" s="22" t="s">
        <v>25</v>
      </c>
      <c r="F39" s="22" t="s">
        <v>25</v>
      </c>
      <c r="G39" s="23" t="s">
        <v>75</v>
      </c>
      <c r="H39" s="23" t="s">
        <v>69</v>
      </c>
      <c r="I39" s="23">
        <f>'MERCADO TE'!$U$36</f>
        <v>0</v>
      </c>
      <c r="J39" s="15"/>
      <c r="L39" s="20">
        <f>'TE BE'!$L$39*'TE BF'!$L$48</f>
        <v>0</v>
      </c>
      <c r="M39" s="20">
        <f>'TE BE'!$M$39*'TE BF'!$M$48</f>
        <v>0</v>
      </c>
      <c r="N39" s="20">
        <f>'TE BE'!$N$39*'TE BF'!$N$48</f>
        <v>0</v>
      </c>
      <c r="O39" s="20">
        <f>'TE BE'!$O$39*'TE BF'!$O$48</f>
        <v>0</v>
      </c>
      <c r="P39" s="20">
        <f>'TE BE'!$P$39*'TE BF'!$P$48</f>
        <v>0</v>
      </c>
      <c r="Q39" s="20">
        <f>SUM($L$39:$P$39)</f>
        <v>0</v>
      </c>
      <c r="R39" s="20">
        <f>'TE BE'!$R$39*'TE BF'!$R$48</f>
        <v>0</v>
      </c>
      <c r="S39" s="20">
        <f>SUM($R$39:$R$39)</f>
        <v>0</v>
      </c>
      <c r="T39" s="20">
        <f>'TE BE'!$T$39*'TE BF'!$T$48</f>
        <v>0</v>
      </c>
      <c r="U39" s="20">
        <f>'TE BE'!$U$39*'TE BF'!$U$48</f>
        <v>0</v>
      </c>
      <c r="V39" s="20">
        <f>'TE BE'!$V$39*'TE BF'!$V$48</f>
        <v>0</v>
      </c>
      <c r="W39" s="20">
        <f>SUM($T$39:$V$39)</f>
        <v>0</v>
      </c>
      <c r="X39" s="20">
        <f>'TE BE'!$AB$39*'TE BF'!$X$48</f>
        <v>0</v>
      </c>
      <c r="Y39" s="20">
        <f>SUM($X$39:$X$39)</f>
        <v>0</v>
      </c>
      <c r="Z39" s="20">
        <f>'TE BE'!$Z$39*'TE BF'!$Z$48</f>
        <v>0</v>
      </c>
      <c r="AA39" s="20">
        <f>SUM($Z$39:$Z$39)</f>
        <v>0</v>
      </c>
      <c r="AB39" s="20">
        <f>SUMIF($L$4:$AA$4,"SUBTOTAL",$L$39:$AA$39)</f>
        <v>0</v>
      </c>
    </row>
    <row r="40" spans="1:28" ht="11.25" customHeight="1" x14ac:dyDescent="0.3">
      <c r="A40" s="96" t="s">
        <v>45</v>
      </c>
      <c r="B40" s="96" t="s">
        <v>82</v>
      </c>
      <c r="C40" s="96" t="s">
        <v>46</v>
      </c>
      <c r="D40" s="22" t="s">
        <v>47</v>
      </c>
      <c r="E40" s="22" t="s">
        <v>25</v>
      </c>
      <c r="F40" s="22" t="s">
        <v>25</v>
      </c>
      <c r="G40" s="23" t="s">
        <v>75</v>
      </c>
      <c r="H40" s="23" t="s">
        <v>69</v>
      </c>
      <c r="I40" s="23">
        <f>'MERCADO TE'!$U$37</f>
        <v>1010.7439999999999</v>
      </c>
      <c r="J40" s="15"/>
      <c r="L40" s="20">
        <f>'TE BE'!$L$40*'TE BF'!$L$48</f>
        <v>0</v>
      </c>
      <c r="M40" s="20">
        <f>'TE BE'!$M$40*'TE BF'!$M$48</f>
        <v>0</v>
      </c>
      <c r="N40" s="20">
        <f>'TE BE'!$N$40*'TE BF'!$N$48</f>
        <v>0</v>
      </c>
      <c r="O40" s="20">
        <f>'TE BE'!$O$40*'TE BF'!$O$48</f>
        <v>0</v>
      </c>
      <c r="P40" s="20">
        <f>'TE BE'!$P$40*'TE BF'!$P$48</f>
        <v>0</v>
      </c>
      <c r="Q40" s="20">
        <f>SUM($L$40:$P$40)</f>
        <v>0</v>
      </c>
      <c r="R40" s="20">
        <f>'TE BE'!$R$40*'TE BF'!$R$48</f>
        <v>0</v>
      </c>
      <c r="S40" s="20">
        <f>SUM($R$40:$R$40)</f>
        <v>0</v>
      </c>
      <c r="T40" s="20">
        <f>'TE BE'!$T$40*'TE BF'!$T$48</f>
        <v>0</v>
      </c>
      <c r="U40" s="20">
        <f>'TE BE'!$U$40*'TE BF'!$U$48</f>
        <v>0</v>
      </c>
      <c r="V40" s="20">
        <f>'TE BE'!$V$40*'TE BF'!$V$48</f>
        <v>0</v>
      </c>
      <c r="W40" s="20">
        <f>SUM($T$40:$V$40)</f>
        <v>0</v>
      </c>
      <c r="X40" s="20">
        <f>'TE BE'!$AB$40*'TE BF'!$X$48</f>
        <v>0</v>
      </c>
      <c r="Y40" s="20">
        <f>SUM($X$40:$X$40)</f>
        <v>0</v>
      </c>
      <c r="Z40" s="20">
        <f>'TE BE'!$Z$40*'TE BF'!$Z$48</f>
        <v>0</v>
      </c>
      <c r="AA40" s="20">
        <f>SUM($Z$40:$Z$40)</f>
        <v>0</v>
      </c>
      <c r="AB40" s="20">
        <f>SUMIF($L$4:$AA$4,"SUBTOTAL",$L$40:$AA$40)</f>
        <v>0</v>
      </c>
    </row>
    <row r="41" spans="1:28" ht="11.25" customHeight="1" x14ac:dyDescent="0.3">
      <c r="A41" s="96"/>
      <c r="B41" s="96"/>
      <c r="C41" s="96"/>
      <c r="D41" s="23" t="s">
        <v>87</v>
      </c>
      <c r="E41" s="23" t="s">
        <v>25</v>
      </c>
      <c r="F41" s="23" t="s">
        <v>25</v>
      </c>
      <c r="G41" s="23" t="s">
        <v>75</v>
      </c>
      <c r="H41" s="23" t="s">
        <v>69</v>
      </c>
      <c r="I41" s="23">
        <f>'MERCADO TE'!$U$38</f>
        <v>0</v>
      </c>
      <c r="J41" s="15"/>
      <c r="L41" s="20">
        <f>'TE BE'!$L$41*'TE BF'!$L$48</f>
        <v>0</v>
      </c>
      <c r="M41" s="20">
        <f>'TE BE'!$M$41*'TE BF'!$M$48</f>
        <v>0</v>
      </c>
      <c r="N41" s="20">
        <f>'TE BE'!$N$41*'TE BF'!$N$48</f>
        <v>0</v>
      </c>
      <c r="O41" s="20">
        <f>'TE BE'!$O$41*'TE BF'!$O$48</f>
        <v>0</v>
      </c>
      <c r="P41" s="20">
        <f>'TE BE'!$P$41*'TE BF'!$P$48</f>
        <v>0</v>
      </c>
      <c r="Q41" s="20">
        <f>SUM($L$41:$P$41)</f>
        <v>0</v>
      </c>
      <c r="R41" s="20">
        <f>'TE BE'!$R$41*'TE BF'!$R$48</f>
        <v>0</v>
      </c>
      <c r="S41" s="20">
        <f>SUM($R$41:$R$41)</f>
        <v>0</v>
      </c>
      <c r="T41" s="20">
        <f>'TE BE'!$T$41*'TE BF'!$T$48</f>
        <v>0</v>
      </c>
      <c r="U41" s="20">
        <f>'TE BE'!$U$41*'TE BF'!$U$48</f>
        <v>0</v>
      </c>
      <c r="V41" s="20">
        <f>'TE BE'!$V$41*'TE BF'!$V$48</f>
        <v>0</v>
      </c>
      <c r="W41" s="20">
        <f>SUM($T$41:$V$41)</f>
        <v>0</v>
      </c>
      <c r="X41" s="20">
        <f>'TE BE'!$AB$41*'TE BF'!$X$48</f>
        <v>0</v>
      </c>
      <c r="Y41" s="20">
        <f>SUM($X$41:$X$41)</f>
        <v>0</v>
      </c>
      <c r="Z41" s="20">
        <f>'TE BE'!$Z$41*'TE BF'!$Z$48</f>
        <v>0</v>
      </c>
      <c r="AA41" s="20">
        <f>SUM($Z$41:$Z$41)</f>
        <v>0</v>
      </c>
      <c r="AB41" s="20">
        <f>SUMIF($L$4:$AA$4,"SUBTOTAL",$L$41:$AA$41)</f>
        <v>0</v>
      </c>
    </row>
    <row r="43" spans="1:28" ht="11.25" customHeight="1" x14ac:dyDescent="0.3">
      <c r="K43" s="25" t="s">
        <v>546</v>
      </c>
      <c r="L43" s="20">
        <f t="shared" ref="L43:AB43" si="0">SUMPRODUCT($I$5:$I$41,L$5:L$41)</f>
        <v>0</v>
      </c>
      <c r="M43" s="20">
        <f t="shared" si="0"/>
        <v>0</v>
      </c>
      <c r="N43" s="20">
        <f t="shared" si="0"/>
        <v>0</v>
      </c>
      <c r="O43" s="20">
        <f t="shared" si="0"/>
        <v>0</v>
      </c>
      <c r="P43" s="20">
        <f t="shared" si="0"/>
        <v>0</v>
      </c>
      <c r="Q43" s="20">
        <f t="shared" si="0"/>
        <v>0</v>
      </c>
      <c r="R43" s="20">
        <f t="shared" si="0"/>
        <v>0</v>
      </c>
      <c r="S43" s="20">
        <f t="shared" si="0"/>
        <v>0</v>
      </c>
      <c r="T43" s="20">
        <f t="shared" si="0"/>
        <v>0</v>
      </c>
      <c r="U43" s="20">
        <f t="shared" si="0"/>
        <v>0</v>
      </c>
      <c r="V43" s="20">
        <f t="shared" si="0"/>
        <v>0</v>
      </c>
      <c r="W43" s="20">
        <f t="shared" si="0"/>
        <v>0</v>
      </c>
      <c r="X43" s="20">
        <f t="shared" si="0"/>
        <v>0</v>
      </c>
      <c r="Y43" s="20">
        <f t="shared" si="0"/>
        <v>0</v>
      </c>
      <c r="Z43" s="20">
        <f t="shared" si="0"/>
        <v>0</v>
      </c>
      <c r="AA43" s="20">
        <f t="shared" si="0"/>
        <v>0</v>
      </c>
      <c r="AB43" s="20">
        <f t="shared" si="0"/>
        <v>0</v>
      </c>
    </row>
    <row r="44" spans="1:28" ht="11.25" customHeight="1" x14ac:dyDescent="0.3">
      <c r="K44" s="25" t="s">
        <v>465</v>
      </c>
      <c r="L44" s="20">
        <f>CUSTOS!$D$30</f>
        <v>0</v>
      </c>
      <c r="M44" s="20">
        <f>CUSTOS!$D$31</f>
        <v>0</v>
      </c>
      <c r="N44" s="20">
        <f>CUSTOS!$D$32</f>
        <v>0</v>
      </c>
      <c r="O44" s="20">
        <f>CUSTOS!$D$33</f>
        <v>0</v>
      </c>
      <c r="P44" s="20">
        <f>CUSTOS!$D$34</f>
        <v>0</v>
      </c>
      <c r="Q44" s="20">
        <f>CUSTOS!$D$35</f>
        <v>0</v>
      </c>
      <c r="R44" s="20">
        <f>CUSTOS!$D$36</f>
        <v>5539840.7838546168</v>
      </c>
      <c r="S44" s="20">
        <f>CUSTOS!$D$37</f>
        <v>5539840.7838546168</v>
      </c>
      <c r="T44" s="20">
        <f>CUSTOS!$D$38</f>
        <v>0</v>
      </c>
      <c r="U44" s="20">
        <f>CUSTOS!$D$39</f>
        <v>0</v>
      </c>
      <c r="V44" s="20">
        <f>CUSTOS!$D$40</f>
        <v>0</v>
      </c>
      <c r="W44" s="20">
        <f>CUSTOS!$D$41</f>
        <v>0</v>
      </c>
      <c r="X44" s="20">
        <f>CUSTOS!$D$42</f>
        <v>0</v>
      </c>
      <c r="Y44" s="20">
        <f>CUSTOS!$D$43</f>
        <v>0</v>
      </c>
      <c r="Z44" s="20">
        <f>CUSTOS!$D$44</f>
        <v>0</v>
      </c>
      <c r="AA44" s="20">
        <f>CUSTOS!$D$45</f>
        <v>0</v>
      </c>
      <c r="AB44" s="20">
        <f>CUSTOS!$D$46</f>
        <v>5539840.7838546168</v>
      </c>
    </row>
    <row r="45" spans="1:28" ht="11.25" customHeight="1" x14ac:dyDescent="0.3">
      <c r="K45" s="25" t="s">
        <v>466</v>
      </c>
      <c r="L45" s="20">
        <f>CUSTOS!$E$30</f>
        <v>0</v>
      </c>
      <c r="M45" s="20">
        <f>CUSTOS!$E$31</f>
        <v>0</v>
      </c>
      <c r="N45" s="20">
        <f>CUSTOS!$E$32</f>
        <v>0</v>
      </c>
      <c r="O45" s="20">
        <f>CUSTOS!$E$33</f>
        <v>0</v>
      </c>
      <c r="P45" s="20">
        <f>CUSTOS!$E$34</f>
        <v>0</v>
      </c>
      <c r="Q45" s="20">
        <f>CUSTOS!$E$35</f>
        <v>0</v>
      </c>
      <c r="R45" s="20">
        <f>CUSTOS!$E$36</f>
        <v>-101323.58544931212</v>
      </c>
      <c r="S45" s="20">
        <f>CUSTOS!$E$37</f>
        <v>-101323.58544931212</v>
      </c>
      <c r="T45" s="20">
        <f>CUSTOS!$E$38</f>
        <v>0</v>
      </c>
      <c r="U45" s="20">
        <f>CUSTOS!$E$39</f>
        <v>0</v>
      </c>
      <c r="V45" s="20">
        <f>CUSTOS!$E$40</f>
        <v>0</v>
      </c>
      <c r="W45" s="20">
        <f>CUSTOS!$E$41</f>
        <v>0</v>
      </c>
      <c r="X45" s="20">
        <f>CUSTOS!$E$42</f>
        <v>0</v>
      </c>
      <c r="Y45" s="20">
        <f>CUSTOS!$E$43</f>
        <v>0</v>
      </c>
      <c r="Z45" s="20">
        <f>CUSTOS!$E$44</f>
        <v>0</v>
      </c>
      <c r="AA45" s="20">
        <f>CUSTOS!$E$45</f>
        <v>0</v>
      </c>
      <c r="AB45" s="20">
        <f>CUSTOS!$E$46</f>
        <v>-101323.58544931212</v>
      </c>
    </row>
    <row r="46" spans="1:28" ht="11.25" customHeight="1" x14ac:dyDescent="0.3">
      <c r="K46" s="25" t="s">
        <v>467</v>
      </c>
      <c r="L46" s="20">
        <f>CUSTOS!$F$30</f>
        <v>0</v>
      </c>
      <c r="M46" s="20">
        <f>CUSTOS!$F$31</f>
        <v>0</v>
      </c>
      <c r="N46" s="20">
        <f>CUSTOS!$F$32</f>
        <v>0</v>
      </c>
      <c r="O46" s="20">
        <f>CUSTOS!$F$33</f>
        <v>0</v>
      </c>
      <c r="P46" s="20">
        <f>CUSTOS!$F$34</f>
        <v>0</v>
      </c>
      <c r="Q46" s="20">
        <f>CUSTOS!$F$35</f>
        <v>0</v>
      </c>
      <c r="R46" s="20">
        <f>CUSTOS!$F$36</f>
        <v>0</v>
      </c>
      <c r="S46" s="20">
        <f>CUSTOS!$F$37</f>
        <v>0</v>
      </c>
      <c r="T46" s="20">
        <f>CUSTOS!$F$38</f>
        <v>0</v>
      </c>
      <c r="U46" s="20">
        <f>CUSTOS!$F$39</f>
        <v>0</v>
      </c>
      <c r="V46" s="20">
        <f>CUSTOS!$F$40</f>
        <v>0</v>
      </c>
      <c r="W46" s="20">
        <f>CUSTOS!$F$41</f>
        <v>0</v>
      </c>
      <c r="X46" s="20">
        <f>CUSTOS!$F$42</f>
        <v>0</v>
      </c>
      <c r="Y46" s="20">
        <f>CUSTOS!$F$43</f>
        <v>0</v>
      </c>
      <c r="Z46" s="20">
        <f>CUSTOS!$F$44</f>
        <v>0</v>
      </c>
      <c r="AA46" s="20">
        <f>CUSTOS!$F$45</f>
        <v>0</v>
      </c>
      <c r="AB46" s="20">
        <f>CUSTOS!$F$46</f>
        <v>0</v>
      </c>
    </row>
    <row r="47" spans="1:28" ht="11.25" customHeight="1" x14ac:dyDescent="0.3"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11.25" customHeight="1" x14ac:dyDescent="0.3"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1:28" ht="11.25" customHeight="1" x14ac:dyDescent="0.3"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</sheetData>
  <mergeCells count="61">
    <mergeCell ref="E35:E37"/>
    <mergeCell ref="F35:F37"/>
    <mergeCell ref="A40:A41"/>
    <mergeCell ref="B40:B41"/>
    <mergeCell ref="C40:C41"/>
    <mergeCell ref="D35:D37"/>
    <mergeCell ref="B32:B34"/>
    <mergeCell ref="C32:C34"/>
    <mergeCell ref="A35:A39"/>
    <mergeCell ref="B35:B37"/>
    <mergeCell ref="C35:C37"/>
    <mergeCell ref="A20:A34"/>
    <mergeCell ref="B20:B22"/>
    <mergeCell ref="C20:C22"/>
    <mergeCell ref="B28:B30"/>
    <mergeCell ref="C28:C30"/>
    <mergeCell ref="B24:B26"/>
    <mergeCell ref="C24:C26"/>
    <mergeCell ref="D28:D30"/>
    <mergeCell ref="E28:E30"/>
    <mergeCell ref="F28:F30"/>
    <mergeCell ref="D20:D22"/>
    <mergeCell ref="E20:E22"/>
    <mergeCell ref="F20:F22"/>
    <mergeCell ref="D24:D26"/>
    <mergeCell ref="E24:E26"/>
    <mergeCell ref="F24:F26"/>
    <mergeCell ref="A7:A19"/>
    <mergeCell ref="B7:B9"/>
    <mergeCell ref="C7:C9"/>
    <mergeCell ref="D7:D9"/>
    <mergeCell ref="E7:E9"/>
    <mergeCell ref="F7:F9"/>
    <mergeCell ref="B10:B14"/>
    <mergeCell ref="C10:C14"/>
    <mergeCell ref="B15:B19"/>
    <mergeCell ref="C15:C19"/>
    <mergeCell ref="Z3:AA3"/>
    <mergeCell ref="AB3:AB4"/>
    <mergeCell ref="A5:A6"/>
    <mergeCell ref="B5:B6"/>
    <mergeCell ref="C5:C6"/>
    <mergeCell ref="D5:D6"/>
    <mergeCell ref="E5:E6"/>
    <mergeCell ref="F5:F6"/>
    <mergeCell ref="G1:G4"/>
    <mergeCell ref="H1:H4"/>
    <mergeCell ref="I1:I4"/>
    <mergeCell ref="J1:J4"/>
    <mergeCell ref="L1:AB1"/>
    <mergeCell ref="L2:AB2"/>
    <mergeCell ref="L3:Q3"/>
    <mergeCell ref="R3:S3"/>
    <mergeCell ref="T3:W3"/>
    <mergeCell ref="X3:Y3"/>
    <mergeCell ref="A1:A4"/>
    <mergeCell ref="B1:B4"/>
    <mergeCell ref="C1:C4"/>
    <mergeCell ref="D1:D4"/>
    <mergeCell ref="E1:E4"/>
    <mergeCell ref="F1:F4"/>
  </mergeCells>
  <conditionalFormatting sqref="L43">
    <cfRule type="cellIs" dxfId="622" priority="33" operator="notEqual">
      <formula>$L$46</formula>
    </cfRule>
    <cfRule type="cellIs" dxfId="621" priority="34" operator="equal">
      <formula>$L$46</formula>
    </cfRule>
  </conditionalFormatting>
  <conditionalFormatting sqref="M43">
    <cfRule type="cellIs" dxfId="620" priority="31" operator="notEqual">
      <formula>$M$46</formula>
    </cfRule>
    <cfRule type="cellIs" dxfId="619" priority="32" operator="equal">
      <formula>$M$46</formula>
    </cfRule>
  </conditionalFormatting>
  <conditionalFormatting sqref="N43">
    <cfRule type="cellIs" dxfId="618" priority="29" operator="notEqual">
      <formula>$N$46</formula>
    </cfRule>
    <cfRule type="cellIs" dxfId="617" priority="30" operator="equal">
      <formula>$N$46</formula>
    </cfRule>
  </conditionalFormatting>
  <conditionalFormatting sqref="O43">
    <cfRule type="cellIs" dxfId="616" priority="27" operator="notEqual">
      <formula>$O$46</formula>
    </cfRule>
    <cfRule type="cellIs" dxfId="615" priority="28" operator="equal">
      <formula>$O$46</formula>
    </cfRule>
  </conditionalFormatting>
  <conditionalFormatting sqref="P43">
    <cfRule type="cellIs" dxfId="614" priority="25" operator="notEqual">
      <formula>$P$46</formula>
    </cfRule>
    <cfRule type="cellIs" dxfId="613" priority="26" operator="equal">
      <formula>$P$46</formula>
    </cfRule>
  </conditionalFormatting>
  <conditionalFormatting sqref="Q43">
    <cfRule type="cellIs" dxfId="612" priority="23" operator="notEqual">
      <formula>$Q$46</formula>
    </cfRule>
    <cfRule type="cellIs" dxfId="611" priority="24" operator="equal">
      <formula>$Q$46</formula>
    </cfRule>
  </conditionalFormatting>
  <conditionalFormatting sqref="R43">
    <cfRule type="cellIs" dxfId="610" priority="21" operator="notEqual">
      <formula>$R$46</formula>
    </cfRule>
    <cfRule type="cellIs" dxfId="609" priority="22" operator="equal">
      <formula>$R$46</formula>
    </cfRule>
  </conditionalFormatting>
  <conditionalFormatting sqref="S43">
    <cfRule type="cellIs" dxfId="608" priority="19" operator="notEqual">
      <formula>$S$46</formula>
    </cfRule>
    <cfRule type="cellIs" dxfId="607" priority="20" operator="equal">
      <formula>$S$46</formula>
    </cfRule>
  </conditionalFormatting>
  <conditionalFormatting sqref="T43">
    <cfRule type="cellIs" dxfId="606" priority="17" operator="notEqual">
      <formula>$T$46</formula>
    </cfRule>
    <cfRule type="cellIs" dxfId="605" priority="18" operator="equal">
      <formula>$T$46</formula>
    </cfRule>
  </conditionalFormatting>
  <conditionalFormatting sqref="U43">
    <cfRule type="cellIs" dxfId="604" priority="15" operator="notEqual">
      <formula>$U$46</formula>
    </cfRule>
    <cfRule type="cellIs" dxfId="603" priority="16" operator="equal">
      <formula>$U$46</formula>
    </cfRule>
  </conditionalFormatting>
  <conditionalFormatting sqref="V43">
    <cfRule type="cellIs" dxfId="602" priority="13" operator="notEqual">
      <formula>$V$46</formula>
    </cfRule>
    <cfRule type="cellIs" dxfId="601" priority="14" operator="equal">
      <formula>$V$46</formula>
    </cfRule>
  </conditionalFormatting>
  <conditionalFormatting sqref="W43">
    <cfRule type="cellIs" dxfId="600" priority="11" operator="notEqual">
      <formula>$W$46</formula>
    </cfRule>
    <cfRule type="cellIs" dxfId="599" priority="12" operator="equal">
      <formula>$W$46</formula>
    </cfRule>
  </conditionalFormatting>
  <conditionalFormatting sqref="X43">
    <cfRule type="cellIs" dxfId="598" priority="9" operator="notEqual">
      <formula>$X$46</formula>
    </cfRule>
    <cfRule type="cellIs" dxfId="597" priority="10" operator="equal">
      <formula>$X$46</formula>
    </cfRule>
  </conditionalFormatting>
  <conditionalFormatting sqref="Y43">
    <cfRule type="cellIs" dxfId="596" priority="7" operator="notEqual">
      <formula>$Y$46</formula>
    </cfRule>
    <cfRule type="cellIs" dxfId="595" priority="8" operator="equal">
      <formula>$Y$46</formula>
    </cfRule>
  </conditionalFormatting>
  <conditionalFormatting sqref="Z43">
    <cfRule type="cellIs" dxfId="594" priority="5" operator="notEqual">
      <formula>$Z$46</formula>
    </cfRule>
    <cfRule type="cellIs" dxfId="593" priority="6" operator="equal">
      <formula>$Z$46</formula>
    </cfRule>
  </conditionalFormatting>
  <conditionalFormatting sqref="AA43">
    <cfRule type="cellIs" dxfId="592" priority="3" operator="notEqual">
      <formula>$AA$46</formula>
    </cfRule>
    <cfRule type="cellIs" dxfId="591" priority="4" operator="equal">
      <formula>$AA$46</formula>
    </cfRule>
  </conditionalFormatting>
  <conditionalFormatting sqref="AB43">
    <cfRule type="cellIs" dxfId="590" priority="1" operator="notEqual">
      <formula>$AB$46</formula>
    </cfRule>
    <cfRule type="cellIs" dxfId="589" priority="2" operator="equal">
      <formula>$AB$46</formula>
    </cfRule>
  </conditionalFormatting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332CB-71E2-4874-8D1C-6386B8B6206A}">
  <sheetPr codeName="Planilha16"/>
  <dimension ref="A1:AV352"/>
  <sheetViews>
    <sheetView showGridLines="0" topLeftCell="AI1" workbookViewId="0">
      <selection activeCell="AV9" sqref="AV9"/>
    </sheetView>
  </sheetViews>
  <sheetFormatPr defaultColWidth="9.109375" defaultRowHeight="11.25" customHeight="1" x14ac:dyDescent="0.3"/>
  <cols>
    <col min="1" max="1" width="19.109375" style="4" bestFit="1" customWidth="1"/>
    <col min="2" max="2" width="13.33203125" style="4" bestFit="1" customWidth="1"/>
    <col min="3" max="3" width="14.5546875" style="4" bestFit="1" customWidth="1"/>
    <col min="4" max="4" width="13.5546875" style="4" bestFit="1" customWidth="1"/>
    <col min="5" max="5" width="25.109375" style="4" bestFit="1" customWidth="1"/>
    <col min="6" max="6" width="11.44140625" style="4" bestFit="1" customWidth="1"/>
    <col min="7" max="7" width="11.33203125" style="4" bestFit="1" customWidth="1"/>
    <col min="8" max="8" width="10.33203125" style="4" bestFit="1" customWidth="1"/>
    <col min="9" max="9" width="12.109375" style="5" bestFit="1" customWidth="1"/>
    <col min="10" max="11" width="7.88671875" style="6" bestFit="1" customWidth="1"/>
    <col min="12" max="12" width="11.33203125" style="6" bestFit="1" customWidth="1"/>
    <col min="13" max="13" width="12.5546875" style="6" bestFit="1" customWidth="1"/>
    <col min="14" max="14" width="9.109375" style="6" bestFit="1" customWidth="1"/>
    <col min="15" max="15" width="10.44140625" style="6" bestFit="1" customWidth="1"/>
    <col min="16" max="16" width="7.6640625" style="6" bestFit="1" customWidth="1"/>
    <col min="17" max="17" width="11.109375" style="4" bestFit="1" customWidth="1"/>
    <col min="18" max="18" width="13.109375" style="4" bestFit="1" customWidth="1"/>
    <col min="19" max="19" width="23" style="4" bestFit="1" customWidth="1"/>
    <col min="20" max="20" width="24.44140625" style="4" bestFit="1" customWidth="1"/>
    <col min="21" max="21" width="22.33203125" style="4" bestFit="1" customWidth="1"/>
    <col min="22" max="22" width="15.88671875" style="4" bestFit="1" customWidth="1"/>
    <col min="23" max="23" width="17.33203125" style="4" bestFit="1" customWidth="1"/>
    <col min="24" max="24" width="15.109375" style="4" bestFit="1" customWidth="1"/>
    <col min="25" max="25" width="20.88671875" style="4" bestFit="1" customWidth="1"/>
    <col min="26" max="26" width="22.44140625" style="4" bestFit="1" customWidth="1"/>
    <col min="27" max="27" width="20.109375" style="4" bestFit="1" customWidth="1"/>
    <col min="28" max="28" width="23.33203125" style="4" bestFit="1" customWidth="1"/>
    <col min="29" max="29" width="24.6640625" style="4" bestFit="1" customWidth="1"/>
    <col min="30" max="30" width="22.5546875" style="4" bestFit="1" customWidth="1"/>
    <col min="31" max="31" width="24.109375" style="4" bestFit="1" customWidth="1"/>
    <col min="32" max="32" width="25.5546875" style="4" bestFit="1" customWidth="1"/>
    <col min="33" max="33" width="23.44140625" style="4" bestFit="1" customWidth="1"/>
    <col min="34" max="34" width="9.109375" style="4"/>
    <col min="35" max="35" width="9.33203125" style="4" bestFit="1" customWidth="1"/>
    <col min="36" max="36" width="14.5546875" style="4" bestFit="1" customWidth="1"/>
    <col min="37" max="37" width="15.44140625" style="4" bestFit="1" customWidth="1"/>
    <col min="38" max="38" width="9.33203125" style="4" bestFit="1" customWidth="1"/>
    <col min="39" max="39" width="9.109375" style="4"/>
    <col min="40" max="40" width="9.33203125" style="4" bestFit="1" customWidth="1"/>
    <col min="41" max="41" width="12.33203125" style="4" bestFit="1" customWidth="1"/>
    <col min="42" max="42" width="13.33203125" style="4" bestFit="1" customWidth="1"/>
    <col min="43" max="43" width="9.33203125" style="4" bestFit="1" customWidth="1"/>
    <col min="44" max="44" width="9.109375" style="4"/>
    <col min="45" max="45" width="9.33203125" style="4" bestFit="1" customWidth="1"/>
    <col min="46" max="47" width="10.88671875" style="4" bestFit="1" customWidth="1"/>
    <col min="48" max="48" width="9.33203125" style="4" bestFit="1" customWidth="1"/>
    <col min="49" max="16384" width="9.109375" style="4"/>
  </cols>
  <sheetData>
    <row r="1" spans="1:48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594</v>
      </c>
      <c r="AC1" s="1" t="s">
        <v>595</v>
      </c>
      <c r="AD1" s="1" t="s">
        <v>596</v>
      </c>
      <c r="AE1" s="1" t="s">
        <v>597</v>
      </c>
      <c r="AF1" s="1" t="s">
        <v>598</v>
      </c>
      <c r="AG1" s="1" t="s">
        <v>599</v>
      </c>
      <c r="AI1" s="35" t="s">
        <v>59</v>
      </c>
      <c r="AJ1" s="35" t="s">
        <v>600</v>
      </c>
      <c r="AK1" s="35" t="s">
        <v>601</v>
      </c>
      <c r="AL1" s="35" t="s">
        <v>602</v>
      </c>
      <c r="AN1" s="35" t="s">
        <v>59</v>
      </c>
      <c r="AO1" s="35" t="s">
        <v>603</v>
      </c>
      <c r="AP1" s="35" t="s">
        <v>604</v>
      </c>
      <c r="AQ1" s="35" t="s">
        <v>602</v>
      </c>
      <c r="AS1" s="35" t="s">
        <v>59</v>
      </c>
      <c r="AT1" s="35" t="s">
        <v>605</v>
      </c>
      <c r="AU1" s="35" t="s">
        <v>606</v>
      </c>
      <c r="AV1" s="35" t="s">
        <v>602</v>
      </c>
    </row>
    <row r="2" spans="1:48" ht="11.25" customHeight="1" x14ac:dyDescent="0.3">
      <c r="A2" s="4" t="s">
        <v>21</v>
      </c>
      <c r="B2" s="4" t="s">
        <v>35</v>
      </c>
      <c r="C2" s="4" t="s">
        <v>50</v>
      </c>
      <c r="D2" s="4" t="s">
        <v>48</v>
      </c>
      <c r="E2" s="4" t="s">
        <v>49</v>
      </c>
      <c r="F2" s="4" t="s">
        <v>25</v>
      </c>
      <c r="G2" s="4" t="s">
        <v>25</v>
      </c>
      <c r="H2" s="4" t="s">
        <v>38</v>
      </c>
      <c r="I2" s="5">
        <v>44440</v>
      </c>
      <c r="J2" s="6">
        <v>100</v>
      </c>
      <c r="K2" s="53">
        <v>100</v>
      </c>
      <c r="L2" s="6">
        <v>40.451000000000001</v>
      </c>
      <c r="M2" s="53">
        <v>40.451000000000001</v>
      </c>
      <c r="N2" s="6">
        <v>40.451000000000001</v>
      </c>
      <c r="O2" s="53">
        <v>40.451000000000001</v>
      </c>
      <c r="P2" s="6">
        <v>0</v>
      </c>
      <c r="Q2" s="4" t="s">
        <v>26</v>
      </c>
      <c r="R2" s="4">
        <v>0</v>
      </c>
      <c r="S2" s="6">
        <v>21</v>
      </c>
      <c r="T2" s="6">
        <v>1</v>
      </c>
      <c r="U2" s="6">
        <v>40</v>
      </c>
      <c r="V2" s="53">
        <f>IF(ISERROR(VLOOKUP($S$2,'TAR FIN'!$A$1:$O$85,15,0)),0,VLOOKUP($S$2,'TAR FIN'!$A$1:$O$85,15,0))*(1-0.06)</f>
        <v>38.680999999999997</v>
      </c>
      <c r="W2" s="53">
        <f>IF(ISERROR(VLOOKUP($T$2,'TAR FIN'!$A$1:$O$85,15,0)),0,VLOOKUP($T$2,'TAR FIN'!$A$1:$O$85,15,0))*(1-0.06)</f>
        <v>62.077600000000004</v>
      </c>
      <c r="X2" s="53">
        <f>IF(ISERROR(VLOOKUP($U$2,'TAR FIN'!$A$1:$O$85,15,0)),0,VLOOKUP($U$2,'TAR FIN'!$A$1:$O$85,15,0))*(1-0.06)</f>
        <v>112.7718</v>
      </c>
      <c r="Y2" s="53">
        <f ca="1">('TUSD BE'!$AM$6+'TUSD BF'!$AM$6+'TUSD CVA'!$AM$6)*1*(1-0.03)</f>
        <v>40.203324927971032</v>
      </c>
      <c r="Z2" s="53">
        <f ca="1">('TUSD BE'!$AM$7+'TUSD BF'!$AM$7+'TUSD CVA'!$AM$7)*1*(1-0.03)</f>
        <v>98.026390524893429</v>
      </c>
      <c r="AA2" s="53">
        <f>('TE BE'!$AB$6+'TE BF'!$AB$6+'TE CVA'!$AB$6)*1*(1-0.03)</f>
        <v>118.90878875575021</v>
      </c>
      <c r="AB2" s="6">
        <f>$K$2*$V$2</f>
        <v>3868.1</v>
      </c>
      <c r="AC2" s="6">
        <f>$M$2*$W$2</f>
        <v>2511.1009976</v>
      </c>
      <c r="AD2" s="6">
        <f>$O$2*$X$2</f>
        <v>4561.7320817999998</v>
      </c>
      <c r="AE2" s="6">
        <f ca="1">$K$2*$Y$2</f>
        <v>4020.332492797103</v>
      </c>
      <c r="AF2" s="6">
        <f ca="1">$M$2*$Z$2</f>
        <v>3965.2655231224639</v>
      </c>
      <c r="AG2" s="6">
        <f>$O$2*$AA$2</f>
        <v>4809.9794139588521</v>
      </c>
      <c r="AI2" s="36" t="s">
        <v>35</v>
      </c>
      <c r="AJ2" s="37">
        <f>SUMIF($B$2:$B$352,AI2,$AB$2:$AB$352)+SUMIF($B$2:$B$352,AI2,$AC$2:$AC$352)</f>
        <v>10776943.336342394</v>
      </c>
      <c r="AK2" s="37">
        <f ca="1">SUMIF($B$2:$B$352,AI2,$AE$2:$AE$352)+SUMIF($B$2:$B$352,AI2,$AF$2:$AF$352)</f>
        <v>11908092.434144102</v>
      </c>
      <c r="AL2" s="38">
        <f t="shared" ref="AL2:AL9" ca="1" si="0">IF(AJ2&lt;&gt;0,AK2/AJ2-1,0)</f>
        <v>0.10496010440986603</v>
      </c>
      <c r="AN2" s="36" t="s">
        <v>35</v>
      </c>
      <c r="AO2" s="37">
        <f>SUMIF($B$2:$B$352,AN2,$AD$2:$AD$352)</f>
        <v>3583768.6569942008</v>
      </c>
      <c r="AP2" s="37">
        <f>SUMIF($B$2:$B$352,AN2,$AG$2:$AG$352)</f>
        <v>3663803.5544206002</v>
      </c>
      <c r="AQ2" s="38">
        <f t="shared" ref="AQ2:AQ9" si="1">IF(AO2&lt;&gt;0,AP2/AO2-1,0)</f>
        <v>2.2332607120217007E-2</v>
      </c>
      <c r="AS2" s="36" t="s">
        <v>35</v>
      </c>
      <c r="AT2" s="37">
        <f>SUMIF($B$2:$B$352,AS2,$AB$2:$AB$352)+SUMIF($B$2:$B$352,AS2,$AC$2:$AC$352)+SUMIF($B$2:$B$352,AS2,$AD$2:$AD$352)</f>
        <v>14360711.993336596</v>
      </c>
      <c r="AU2" s="37">
        <f ca="1">SUMIF($B$2:$B$352,AS2,$AE$2:$AE$352)+SUMIF($B$2:$B$352,AS2,$AF$2:$AF$352)+SUMIF($B$2:$B$352,AS2,$AG$2:$AG$352)</f>
        <v>15571895.988564702</v>
      </c>
      <c r="AV2" s="38">
        <f t="shared" ref="AV2:AV9" ca="1" si="2">IF(AT2&lt;&gt;0,AU2/AT2-1,0)</f>
        <v>8.434010763464217E-2</v>
      </c>
    </row>
    <row r="3" spans="1:48" ht="11.25" customHeight="1" x14ac:dyDescent="0.3">
      <c r="A3" s="4" t="s">
        <v>21</v>
      </c>
      <c r="B3" s="4" t="s">
        <v>35</v>
      </c>
      <c r="C3" s="4" t="s">
        <v>50</v>
      </c>
      <c r="D3" s="4" t="s">
        <v>48</v>
      </c>
      <c r="E3" s="4" t="s">
        <v>49</v>
      </c>
      <c r="F3" s="4" t="s">
        <v>25</v>
      </c>
      <c r="G3" s="4" t="s">
        <v>25</v>
      </c>
      <c r="H3" s="4" t="s">
        <v>38</v>
      </c>
      <c r="I3" s="5">
        <v>44470</v>
      </c>
      <c r="J3" s="6">
        <v>101</v>
      </c>
      <c r="K3" s="54">
        <v>101</v>
      </c>
      <c r="L3" s="6">
        <v>39.823999999999998</v>
      </c>
      <c r="M3" s="53">
        <v>39.823999999999998</v>
      </c>
      <c r="N3" s="6">
        <v>39.823999999999998</v>
      </c>
      <c r="O3" s="53">
        <v>39.823999999999998</v>
      </c>
      <c r="P3" s="6">
        <v>0</v>
      </c>
      <c r="Q3" s="4" t="s">
        <v>26</v>
      </c>
      <c r="R3" s="4">
        <v>0</v>
      </c>
      <c r="S3" s="6">
        <v>21</v>
      </c>
      <c r="T3" s="6">
        <v>1</v>
      </c>
      <c r="U3" s="6">
        <v>40</v>
      </c>
      <c r="V3" s="53">
        <f>IF(ISERROR(VLOOKUP($S$3,'TAR FIN'!$A$1:$O$85,15,0)),0,VLOOKUP($S$3,'TAR FIN'!$A$1:$O$85,15,0))*(1-0.06)</f>
        <v>38.680999999999997</v>
      </c>
      <c r="W3" s="53">
        <f>IF(ISERROR(VLOOKUP($T$3,'TAR FIN'!$A$1:$O$85,15,0)),0,VLOOKUP($T$3,'TAR FIN'!$A$1:$O$85,15,0))*(1-0.06)</f>
        <v>62.077600000000004</v>
      </c>
      <c r="X3" s="53">
        <f>IF(ISERROR(VLOOKUP($U$3,'TAR FIN'!$A$1:$O$85,15,0)),0,VLOOKUP($U$3,'TAR FIN'!$A$1:$O$85,15,0))*(1-0.06)</f>
        <v>112.7718</v>
      </c>
      <c r="Y3" s="53">
        <f ca="1">('TUSD BE'!$AM$6+'TUSD BF'!$AM$6+'TUSD CVA'!$AM$6)*1*(1-0.03)</f>
        <v>40.203324927971032</v>
      </c>
      <c r="Z3" s="53">
        <f ca="1">('TUSD BE'!$AM$7+'TUSD BF'!$AM$7+'TUSD CVA'!$AM$7)*1*(1-0.03)</f>
        <v>98.026390524893429</v>
      </c>
      <c r="AA3" s="53">
        <f>('TE BE'!$AB$6+'TE BF'!$AB$6+'TE CVA'!$AB$6)*1*(1-0.03)</f>
        <v>118.90878875575021</v>
      </c>
      <c r="AB3" s="6">
        <f>$K$3*$V$3</f>
        <v>3906.7809999999999</v>
      </c>
      <c r="AC3" s="6">
        <f>$M$3*$W$3</f>
        <v>2472.1783424</v>
      </c>
      <c r="AD3" s="6">
        <f>$O$3*$X$3</f>
        <v>4491.0241631999997</v>
      </c>
      <c r="AE3" s="6">
        <f ca="1">$K$3*$Y$3</f>
        <v>4060.5358177250741</v>
      </c>
      <c r="AF3" s="6">
        <f ca="1">$M$3*$Z$3</f>
        <v>3903.802976263356</v>
      </c>
      <c r="AG3" s="6">
        <f>$O$3*$AA$3</f>
        <v>4735.4236034089963</v>
      </c>
      <c r="AI3" s="36" t="s">
        <v>22</v>
      </c>
      <c r="AJ3" s="37">
        <f>SUMIF($B$2:$B$352,AI3,$AB$2:$AB$352)+SUMIF($B$2:$B$352,AI3,$AC$2:$AC$352)</f>
        <v>4165902.4913600022</v>
      </c>
      <c r="AK3" s="37">
        <f ca="1">SUMIF($B$2:$B$352,AI3,$AE$2:$AE$352)+SUMIF($B$2:$B$352,AI3,$AF$2:$AF$352)</f>
        <v>4504035.0834829966</v>
      </c>
      <c r="AL3" s="38">
        <f t="shared" ca="1" si="0"/>
        <v>8.1166708252119246E-2</v>
      </c>
      <c r="AN3" s="36" t="s">
        <v>22</v>
      </c>
      <c r="AO3" s="37">
        <f>SUMIF($B$2:$B$352,AN3,$AD$2:$AD$352)</f>
        <v>823565.41420000046</v>
      </c>
      <c r="AP3" s="37">
        <f>SUMIF($B$2:$B$352,AN3,$AG$2:$AG$352)</f>
        <v>841525.61324281094</v>
      </c>
      <c r="AQ3" s="38">
        <f t="shared" si="1"/>
        <v>2.1807859743912195E-2</v>
      </c>
      <c r="AS3" s="36" t="s">
        <v>22</v>
      </c>
      <c r="AT3" s="37">
        <f>SUMIF($B$2:$B$352,AS3,$AB$2:$AB$352)+SUMIF($B$2:$B$352,AS3,$AC$2:$AC$352)+SUMIF($B$2:$B$352,AS3,$AD$2:$AD$352)</f>
        <v>4989467.9055600027</v>
      </c>
      <c r="AU3" s="37">
        <f ca="1">SUMIF($B$2:$B$352,AS3,$AE$2:$AE$352)+SUMIF($B$2:$B$352,AS3,$AF$2:$AF$352)+SUMIF($B$2:$B$352,AS3,$AG$2:$AG$352)</f>
        <v>5345560.6967258072</v>
      </c>
      <c r="AV3" s="38">
        <f t="shared" ca="1" si="2"/>
        <v>7.1368891013206648E-2</v>
      </c>
    </row>
    <row r="4" spans="1:48" ht="11.25" customHeight="1" x14ac:dyDescent="0.3">
      <c r="A4" s="4" t="s">
        <v>21</v>
      </c>
      <c r="B4" s="4" t="s">
        <v>35</v>
      </c>
      <c r="C4" s="4" t="s">
        <v>50</v>
      </c>
      <c r="D4" s="4" t="s">
        <v>48</v>
      </c>
      <c r="E4" s="4" t="s">
        <v>49</v>
      </c>
      <c r="F4" s="4" t="s">
        <v>25</v>
      </c>
      <c r="G4" s="4" t="s">
        <v>25</v>
      </c>
      <c r="H4" s="4" t="s">
        <v>37</v>
      </c>
      <c r="I4" s="5">
        <v>44440</v>
      </c>
      <c r="J4" s="6">
        <v>100</v>
      </c>
      <c r="K4" s="54">
        <v>100</v>
      </c>
      <c r="L4" s="6">
        <v>4.6870000000000003</v>
      </c>
      <c r="M4" s="53">
        <v>4.6870000000000003</v>
      </c>
      <c r="N4" s="6">
        <v>4.6870000000000003</v>
      </c>
      <c r="O4" s="53">
        <v>4.6870000000000003</v>
      </c>
      <c r="P4" s="6">
        <v>0</v>
      </c>
      <c r="Q4" s="4" t="s">
        <v>26</v>
      </c>
      <c r="R4" s="4">
        <v>0</v>
      </c>
      <c r="S4" s="6">
        <v>31</v>
      </c>
      <c r="T4" s="6">
        <v>1</v>
      </c>
      <c r="U4" s="6">
        <v>34</v>
      </c>
      <c r="V4" s="53">
        <f>IF(ISERROR(VLOOKUP($S$4,'TAR FIN'!$A$1:$O$85,15,0)),0,VLOOKUP($S$4,'TAR FIN'!$A$1:$O$85,15,0))*(1-0.06)</f>
        <v>109.1716</v>
      </c>
      <c r="W4" s="53">
        <f>IF(ISERROR(VLOOKUP($T$4,'TAR FIN'!$A$1:$O$85,15,0)),0,VLOOKUP($T$4,'TAR FIN'!$A$1:$O$85,15,0))*(1-0.06)</f>
        <v>62.077600000000004</v>
      </c>
      <c r="X4" s="53">
        <f>IF(ISERROR(VLOOKUP($U$4,'TAR FIN'!$A$1:$O$85,15,0)),0,VLOOKUP($U$4,'TAR FIN'!$A$1:$O$85,15,0))*(1-0.06)</f>
        <v>112.7718</v>
      </c>
      <c r="Y4" s="53">
        <f ca="1">('TUSD BE'!$AM$5+'TUSD BF'!$AM$5+'TUSD CVA'!$AM$5)*1*(1-0.03)</f>
        <v>113.92202632328157</v>
      </c>
      <c r="Z4" s="53">
        <f ca="1">('TUSD BE'!$AM$7+'TUSD BF'!$AM$7+'TUSD CVA'!$AM$7)*1*(1-0.03)</f>
        <v>98.026390524893429</v>
      </c>
      <c r="AA4" s="53">
        <f>('TE BE'!$AB$5+'TE BF'!$AB$5+'TE CVA'!$AB$5)*1*(1-0.03)</f>
        <v>118.90878875575021</v>
      </c>
      <c r="AB4" s="6">
        <f>$K$4*$V$4</f>
        <v>10917.16</v>
      </c>
      <c r="AC4" s="6">
        <f>$M$4*$W$4</f>
        <v>290.95771120000006</v>
      </c>
      <c r="AD4" s="6">
        <f>$O$4*$X$4</f>
        <v>528.5614266</v>
      </c>
      <c r="AE4" s="6">
        <f ca="1">$K$4*$Y$4</f>
        <v>11392.202632328157</v>
      </c>
      <c r="AF4" s="6">
        <f ca="1">$M$4*$Z$4</f>
        <v>459.44969239017553</v>
      </c>
      <c r="AG4" s="6">
        <f>$O$4*$AA$4</f>
        <v>557.32549289820122</v>
      </c>
      <c r="AI4" s="36" t="s">
        <v>42</v>
      </c>
      <c r="AJ4" s="37">
        <f>SUMIF($B$2:$B$352,AI4,$AB$2:$AB$352)+SUMIF($B$2:$B$352,AI4,$AC$2:$AC$352)</f>
        <v>1806761.83761</v>
      </c>
      <c r="AK4" s="37">
        <f ca="1">SUMIF($B$2:$B$352,AI4,$AE$2:$AE$352)+SUMIF($B$2:$B$352,AI4,$AF$2:$AF$352)</f>
        <v>2090478.2720569358</v>
      </c>
      <c r="AL4" s="38">
        <f t="shared" ca="1" si="0"/>
        <v>0.15703034486395739</v>
      </c>
      <c r="AN4" s="36" t="s">
        <v>42</v>
      </c>
      <c r="AO4" s="37">
        <f>SUMIF($B$2:$B$352,AN4,$AD$2:$AD$352)</f>
        <v>355911.55254</v>
      </c>
      <c r="AP4" s="37">
        <f>SUMIF($B$2:$B$352,AN4,$AG$2:$AG$352)</f>
        <v>388445.86427556141</v>
      </c>
      <c r="AQ4" s="38">
        <f t="shared" si="1"/>
        <v>9.1411227040473664E-2</v>
      </c>
      <c r="AS4" s="36" t="s">
        <v>42</v>
      </c>
      <c r="AT4" s="37">
        <f>SUMIF($B$2:$B$352,AS4,$AB$2:$AB$352)+SUMIF($B$2:$B$352,AS4,$AC$2:$AC$352)+SUMIF($B$2:$B$352,AS4,$AD$2:$AD$352)</f>
        <v>2162673.3901499999</v>
      </c>
      <c r="AU4" s="37">
        <f ca="1">SUMIF($B$2:$B$352,AS4,$AE$2:$AE$352)+SUMIF($B$2:$B$352,AS4,$AF$2:$AF$352)+SUMIF($B$2:$B$352,AS4,$AG$2:$AG$352)</f>
        <v>2478924.136332497</v>
      </c>
      <c r="AV4" s="38">
        <f t="shared" ca="1" si="2"/>
        <v>0.1462313947278755</v>
      </c>
    </row>
    <row r="5" spans="1:48" ht="11.25" customHeight="1" x14ac:dyDescent="0.3">
      <c r="A5" s="4" t="s">
        <v>21</v>
      </c>
      <c r="B5" s="4" t="s">
        <v>35</v>
      </c>
      <c r="C5" s="4" t="s">
        <v>50</v>
      </c>
      <c r="D5" s="4" t="s">
        <v>48</v>
      </c>
      <c r="E5" s="4" t="s">
        <v>49</v>
      </c>
      <c r="F5" s="4" t="s">
        <v>25</v>
      </c>
      <c r="G5" s="4" t="s">
        <v>25</v>
      </c>
      <c r="H5" s="4" t="s">
        <v>37</v>
      </c>
      <c r="I5" s="5">
        <v>44470</v>
      </c>
      <c r="J5" s="6">
        <v>101</v>
      </c>
      <c r="K5" s="54">
        <v>101</v>
      </c>
      <c r="L5" s="6">
        <v>4.5910000000000002</v>
      </c>
      <c r="M5" s="53">
        <v>4.5910000000000002</v>
      </c>
      <c r="N5" s="6">
        <v>4.5910000000000002</v>
      </c>
      <c r="O5" s="53">
        <v>4.5910000000000002</v>
      </c>
      <c r="P5" s="6">
        <v>0</v>
      </c>
      <c r="Q5" s="4" t="s">
        <v>26</v>
      </c>
      <c r="R5" s="4">
        <v>0</v>
      </c>
      <c r="S5" s="6">
        <v>31</v>
      </c>
      <c r="T5" s="6">
        <v>1</v>
      </c>
      <c r="U5" s="6">
        <v>34</v>
      </c>
      <c r="V5" s="53">
        <f>IF(ISERROR(VLOOKUP($S$5,'TAR FIN'!$A$1:$O$85,15,0)),0,VLOOKUP($S$5,'TAR FIN'!$A$1:$O$85,15,0))*(1-0.06)</f>
        <v>109.1716</v>
      </c>
      <c r="W5" s="53">
        <f>IF(ISERROR(VLOOKUP($T$5,'TAR FIN'!$A$1:$O$85,15,0)),0,VLOOKUP($T$5,'TAR FIN'!$A$1:$O$85,15,0))*(1-0.06)</f>
        <v>62.077600000000004</v>
      </c>
      <c r="X5" s="53">
        <f>IF(ISERROR(VLOOKUP($U$5,'TAR FIN'!$A$1:$O$85,15,0)),0,VLOOKUP($U$5,'TAR FIN'!$A$1:$O$85,15,0))*(1-0.06)</f>
        <v>112.7718</v>
      </c>
      <c r="Y5" s="53">
        <f ca="1">('TUSD BE'!$AM$5+'TUSD BF'!$AM$5+'TUSD CVA'!$AM$5)*1*(1-0.03)</f>
        <v>113.92202632328157</v>
      </c>
      <c r="Z5" s="53">
        <f ca="1">('TUSD BE'!$AM$7+'TUSD BF'!$AM$7+'TUSD CVA'!$AM$7)*1*(1-0.03)</f>
        <v>98.026390524893429</v>
      </c>
      <c r="AA5" s="53">
        <f>('TE BE'!$AB$5+'TE BF'!$AB$5+'TE CVA'!$AB$5)*1*(1-0.03)</f>
        <v>118.90878875575021</v>
      </c>
      <c r="AB5" s="6">
        <f>$K$5*$V$5</f>
        <v>11026.3316</v>
      </c>
      <c r="AC5" s="6">
        <f>$M$5*$W$5</f>
        <v>284.99826160000003</v>
      </c>
      <c r="AD5" s="6">
        <f>$O$5*$X$5</f>
        <v>517.73533380000003</v>
      </c>
      <c r="AE5" s="6">
        <f ca="1">$K$5*$Y$5</f>
        <v>11506.124658651439</v>
      </c>
      <c r="AF5" s="6">
        <f ca="1">$M$5*$Z$5</f>
        <v>450.03915889978578</v>
      </c>
      <c r="AG5" s="6">
        <f>$O$5*$AA$5</f>
        <v>545.91024917764923</v>
      </c>
      <c r="AI5" s="36" t="s">
        <v>33</v>
      </c>
      <c r="AJ5" s="37">
        <f>SUMIF($B$2:$B$352,AI5,$AB$2:$AB$352)+SUMIF($B$2:$B$352,AI5,$AC$2:$AC$352)</f>
        <v>2115450.2573671998</v>
      </c>
      <c r="AK5" s="37">
        <f ca="1">SUMIF($B$2:$B$352,AI5,$AE$2:$AE$352)+SUMIF($B$2:$B$352,AI5,$AF$2:$AF$352)</f>
        <v>2296842.7165638842</v>
      </c>
      <c r="AL5" s="38">
        <f t="shared" ca="1" si="0"/>
        <v>8.5746501750619153E-2</v>
      </c>
      <c r="AN5" s="36" t="s">
        <v>33</v>
      </c>
      <c r="AO5" s="37">
        <f>SUMIF($B$2:$B$352,AN5,$AD$2:$AD$352)</f>
        <v>428559.30778139993</v>
      </c>
      <c r="AP5" s="37">
        <f>SUMIF($B$2:$B$352,AN5,$AG$2:$AG$352)</f>
        <v>438129.46096232254</v>
      </c>
      <c r="AQ5" s="38">
        <f t="shared" si="1"/>
        <v>2.233098898368624E-2</v>
      </c>
      <c r="AS5" s="36" t="s">
        <v>33</v>
      </c>
      <c r="AT5" s="37">
        <f>SUMIF($B$2:$B$352,AS5,$AB$2:$AB$352)+SUMIF($B$2:$B$352,AS5,$AC$2:$AC$352)+SUMIF($B$2:$B$352,AS5,$AD$2:$AD$352)</f>
        <v>2544009.5651485994</v>
      </c>
      <c r="AU5" s="37">
        <f ca="1">SUMIF($B$2:$B$352,AS5,$AE$2:$AE$352)+SUMIF($B$2:$B$352,AS5,$AF$2:$AF$352)+SUMIF($B$2:$B$352,AS5,$AG$2:$AG$352)</f>
        <v>2734972.1775262067</v>
      </c>
      <c r="AV5" s="38">
        <f t="shared" ca="1" si="2"/>
        <v>7.5063637729071431E-2</v>
      </c>
    </row>
    <row r="6" spans="1:48" ht="11.25" customHeight="1" x14ac:dyDescent="0.3">
      <c r="A6" s="4" t="s">
        <v>21</v>
      </c>
      <c r="B6" s="4" t="s">
        <v>35</v>
      </c>
      <c r="C6" s="4" t="s">
        <v>36</v>
      </c>
      <c r="D6" s="4" t="s">
        <v>34</v>
      </c>
      <c r="E6" s="4" t="s">
        <v>25</v>
      </c>
      <c r="F6" s="4" t="s">
        <v>25</v>
      </c>
      <c r="G6" s="4" t="s">
        <v>25</v>
      </c>
      <c r="H6" s="4" t="s">
        <v>38</v>
      </c>
      <c r="I6" s="5">
        <v>44440</v>
      </c>
      <c r="J6" s="6">
        <v>0</v>
      </c>
      <c r="K6" s="6">
        <v>0</v>
      </c>
      <c r="L6" s="6">
        <v>2450.712</v>
      </c>
      <c r="M6" s="6">
        <v>2450.712</v>
      </c>
      <c r="N6" s="6">
        <v>2450.712</v>
      </c>
      <c r="O6" s="6">
        <v>2450.712</v>
      </c>
      <c r="P6" s="6">
        <v>0</v>
      </c>
      <c r="Q6" s="4" t="s">
        <v>26</v>
      </c>
      <c r="R6" s="4">
        <v>0</v>
      </c>
      <c r="S6" s="6">
        <v>0</v>
      </c>
      <c r="T6" s="6">
        <v>10</v>
      </c>
      <c r="U6" s="6">
        <v>40</v>
      </c>
      <c r="V6" s="6">
        <f>IF(ISERROR(VLOOKUP($S$6,'TAR FIN'!$A$1:$O$85,15,0)),0,VLOOKUP($S$6,'TAR FIN'!$A$1:$O$85,15,0))</f>
        <v>0</v>
      </c>
      <c r="W6" s="6">
        <f>IF(ISERROR(VLOOKUP($T$6,'TAR FIN'!$A$1:$O$85,15,0)),0,VLOOKUP($T$6,'TAR FIN'!$A$1:$O$85,15,0))</f>
        <v>66.040000000000006</v>
      </c>
      <c r="X6" s="6">
        <f>IF(ISERROR(VLOOKUP($U$6,'TAR FIN'!$A$1:$O$85,15,0)),0,VLOOKUP($U$6,'TAR FIN'!$A$1:$O$85,15,0))</f>
        <v>119.97</v>
      </c>
      <c r="Y6" s="6"/>
      <c r="Z6" s="6">
        <f ca="1">('TUSD BE'!$AM$12+'TUSD BF'!$AM$12+'TUSD CVA'!$AM$12)*1</f>
        <v>101.0581345617458</v>
      </c>
      <c r="AA6" s="6">
        <f>('TE BE'!$AB$6+'TE BF'!$AB$6+'TE CVA'!$AB$6)*1</f>
        <v>122.58638016056723</v>
      </c>
      <c r="AB6" s="6">
        <f>$K$6*$V$6</f>
        <v>0</v>
      </c>
      <c r="AC6" s="6">
        <f>$M$6*$W$6</f>
        <v>161845.02048000001</v>
      </c>
      <c r="AD6" s="6">
        <f>$O$6*$X$6</f>
        <v>294011.91863999999</v>
      </c>
      <c r="AE6" s="6">
        <f>$K$6*$Y$6</f>
        <v>0</v>
      </c>
      <c r="AF6" s="6">
        <f ca="1">$M$6*$Z$6</f>
        <v>247664.38306808518</v>
      </c>
      <c r="AG6" s="6">
        <f>$O$6*$AA$6</f>
        <v>300423.91289606405</v>
      </c>
      <c r="AI6" s="36" t="s">
        <v>45</v>
      </c>
      <c r="AJ6" s="37">
        <f>SUMIF($B$2:$B$352,AI6,$AB$2:$AB$352)+SUMIF($B$2:$B$352,AI6,$AC$2:$AC$352)</f>
        <v>338579.02512000006</v>
      </c>
      <c r="AK6" s="37">
        <f ca="1">SUMIF($B$2:$B$352,AI6,$AE$2:$AE$352)+SUMIF($B$2:$B$352,AI6,$AF$2:$AF$352)</f>
        <v>366742.49772566749</v>
      </c>
      <c r="AL6" s="38">
        <f t="shared" ca="1" si="0"/>
        <v>8.3181386075778407E-2</v>
      </c>
      <c r="AN6" s="36" t="s">
        <v>45</v>
      </c>
      <c r="AO6" s="37">
        <f>SUMIF($B$2:$B$352,AN6,$AD$2:$AD$352)</f>
        <v>66698.996559999985</v>
      </c>
      <c r="AP6" s="37">
        <f>SUMIF($B$2:$B$352,AN6,$AG$2:$AG$352)</f>
        <v>68146.896525956792</v>
      </c>
      <c r="AQ6" s="38">
        <f t="shared" si="1"/>
        <v>2.1707972242945628E-2</v>
      </c>
      <c r="AS6" s="36" t="s">
        <v>45</v>
      </c>
      <c r="AT6" s="37">
        <f>SUMIF($B$2:$B$352,AS6,$AB$2:$AB$352)+SUMIF($B$2:$B$352,AS6,$AC$2:$AC$352)+SUMIF($B$2:$B$352,AS6,$AD$2:$AD$352)</f>
        <v>405278.02168000006</v>
      </c>
      <c r="AU6" s="37">
        <f ca="1">SUMIF($B$2:$B$352,AS6,$AE$2:$AE$352)+SUMIF($B$2:$B$352,AS6,$AF$2:$AF$352)+SUMIF($B$2:$B$352,AS6,$AG$2:$AG$352)</f>
        <v>434889.3942516243</v>
      </c>
      <c r="AV6" s="38">
        <f t="shared" ca="1" si="2"/>
        <v>7.3064343457057257E-2</v>
      </c>
    </row>
    <row r="7" spans="1:48" ht="11.25" customHeight="1" x14ac:dyDescent="0.3">
      <c r="A7" s="4" t="s">
        <v>21</v>
      </c>
      <c r="B7" s="4" t="s">
        <v>35</v>
      </c>
      <c r="C7" s="4" t="s">
        <v>36</v>
      </c>
      <c r="D7" s="4" t="s">
        <v>34</v>
      </c>
      <c r="E7" s="4" t="s">
        <v>25</v>
      </c>
      <c r="F7" s="4" t="s">
        <v>25</v>
      </c>
      <c r="G7" s="4" t="s">
        <v>25</v>
      </c>
      <c r="H7" s="4" t="s">
        <v>38</v>
      </c>
      <c r="I7" s="5">
        <v>44470</v>
      </c>
      <c r="J7" s="6">
        <v>0</v>
      </c>
      <c r="K7" s="6">
        <v>0</v>
      </c>
      <c r="L7" s="6">
        <v>2405.5880000000002</v>
      </c>
      <c r="M7" s="6">
        <v>2405.5880000000002</v>
      </c>
      <c r="N7" s="6">
        <v>2405.5880000000002</v>
      </c>
      <c r="O7" s="6">
        <v>2405.5880000000002</v>
      </c>
      <c r="P7" s="6">
        <v>0</v>
      </c>
      <c r="Q7" s="4" t="s">
        <v>26</v>
      </c>
      <c r="R7" s="4">
        <v>0</v>
      </c>
      <c r="S7" s="6">
        <v>0</v>
      </c>
      <c r="T7" s="6">
        <v>10</v>
      </c>
      <c r="U7" s="6">
        <v>40</v>
      </c>
      <c r="V7" s="6">
        <f>IF(ISERROR(VLOOKUP($S$7,'TAR FIN'!$A$1:$O$85,15,0)),0,VLOOKUP($S$7,'TAR FIN'!$A$1:$O$85,15,0))</f>
        <v>0</v>
      </c>
      <c r="W7" s="6">
        <f>IF(ISERROR(VLOOKUP($T$7,'TAR FIN'!$A$1:$O$85,15,0)),0,VLOOKUP($T$7,'TAR FIN'!$A$1:$O$85,15,0))</f>
        <v>66.040000000000006</v>
      </c>
      <c r="X7" s="6">
        <f>IF(ISERROR(VLOOKUP($U$7,'TAR FIN'!$A$1:$O$85,15,0)),0,VLOOKUP($U$7,'TAR FIN'!$A$1:$O$85,15,0))</f>
        <v>119.97</v>
      </c>
      <c r="Y7" s="6"/>
      <c r="Z7" s="6">
        <f ca="1">('TUSD BE'!$AM$12+'TUSD BF'!$AM$12+'TUSD CVA'!$AM$12)*1</f>
        <v>101.0581345617458</v>
      </c>
      <c r="AA7" s="6">
        <f>('TE BE'!$AB$6+'TE BF'!$AB$6+'TE CVA'!$AB$6)*1</f>
        <v>122.58638016056723</v>
      </c>
      <c r="AB7" s="6">
        <f>$K$7*$V$7</f>
        <v>0</v>
      </c>
      <c r="AC7" s="6">
        <f>$M$7*$W$7</f>
        <v>158865.03152000002</v>
      </c>
      <c r="AD7" s="6">
        <f>$O$7*$X$7</f>
        <v>288598.39236</v>
      </c>
      <c r="AE7" s="6">
        <f>$K$7*$Y$7</f>
        <v>0</v>
      </c>
      <c r="AF7" s="6">
        <f ca="1">$M$7*$Z$7</f>
        <v>243104.23580412098</v>
      </c>
      <c r="AG7" s="6">
        <f>$O$7*$AA$7</f>
        <v>294892.32507769862</v>
      </c>
      <c r="AI7" s="36" t="s">
        <v>607</v>
      </c>
      <c r="AJ7" s="37">
        <f>+$AJ$2</f>
        <v>10776943.336342394</v>
      </c>
      <c r="AK7" s="37">
        <f ca="1">+$AK$2</f>
        <v>11908092.434144102</v>
      </c>
      <c r="AL7" s="38">
        <f t="shared" ca="1" si="0"/>
        <v>0.10496010440986603</v>
      </c>
      <c r="AN7" s="36" t="s">
        <v>607</v>
      </c>
      <c r="AO7" s="37">
        <f>+$AO$2</f>
        <v>3583768.6569942008</v>
      </c>
      <c r="AP7" s="37">
        <f>+$AP$2</f>
        <v>3663803.5544206002</v>
      </c>
      <c r="AQ7" s="38">
        <f t="shared" si="1"/>
        <v>2.2332607120217007E-2</v>
      </c>
      <c r="AS7" s="36" t="s">
        <v>607</v>
      </c>
      <c r="AT7" s="37">
        <f>+$AT$2</f>
        <v>14360711.993336596</v>
      </c>
      <c r="AU7" s="37">
        <f ca="1">+$AU$2</f>
        <v>15571895.988564702</v>
      </c>
      <c r="AV7" s="38">
        <f t="shared" ca="1" si="2"/>
        <v>8.434010763464217E-2</v>
      </c>
    </row>
    <row r="8" spans="1:48" ht="11.25" customHeight="1" x14ac:dyDescent="0.3">
      <c r="A8" s="4" t="s">
        <v>21</v>
      </c>
      <c r="B8" s="4" t="s">
        <v>35</v>
      </c>
      <c r="C8" s="4" t="s">
        <v>36</v>
      </c>
      <c r="D8" s="4" t="s">
        <v>34</v>
      </c>
      <c r="E8" s="4" t="s">
        <v>25</v>
      </c>
      <c r="F8" s="4" t="s">
        <v>25</v>
      </c>
      <c r="G8" s="4" t="s">
        <v>25</v>
      </c>
      <c r="H8" s="4" t="s">
        <v>38</v>
      </c>
      <c r="I8" s="5">
        <v>44501</v>
      </c>
      <c r="J8" s="6">
        <v>0</v>
      </c>
      <c r="K8" s="6">
        <v>0</v>
      </c>
      <c r="L8" s="6">
        <v>2421.614</v>
      </c>
      <c r="M8" s="6">
        <v>2421.614</v>
      </c>
      <c r="N8" s="6">
        <v>2421.614</v>
      </c>
      <c r="O8" s="6">
        <v>2421.614</v>
      </c>
      <c r="P8" s="6">
        <v>0</v>
      </c>
      <c r="Q8" s="4" t="s">
        <v>26</v>
      </c>
      <c r="R8" s="4">
        <v>0</v>
      </c>
      <c r="S8" s="6">
        <v>0</v>
      </c>
      <c r="T8" s="6">
        <v>10</v>
      </c>
      <c r="U8" s="6">
        <v>40</v>
      </c>
      <c r="V8" s="6">
        <f>IF(ISERROR(VLOOKUP($S$8,'TAR FIN'!$A$1:$O$85,15,0)),0,VLOOKUP($S$8,'TAR FIN'!$A$1:$O$85,15,0))</f>
        <v>0</v>
      </c>
      <c r="W8" s="6">
        <f>IF(ISERROR(VLOOKUP($T$8,'TAR FIN'!$A$1:$O$85,15,0)),0,VLOOKUP($T$8,'TAR FIN'!$A$1:$O$85,15,0))</f>
        <v>66.040000000000006</v>
      </c>
      <c r="X8" s="6">
        <f>IF(ISERROR(VLOOKUP($U$8,'TAR FIN'!$A$1:$O$85,15,0)),0,VLOOKUP($U$8,'TAR FIN'!$A$1:$O$85,15,0))</f>
        <v>119.97</v>
      </c>
      <c r="Y8" s="6"/>
      <c r="Z8" s="6">
        <f ca="1">('TUSD BE'!$AM$12+'TUSD BF'!$AM$12+'TUSD CVA'!$AM$12)*1</f>
        <v>101.0581345617458</v>
      </c>
      <c r="AA8" s="6">
        <f>('TE BE'!$AB$6+'TE BF'!$AB$6+'TE CVA'!$AB$6)*1</f>
        <v>122.58638016056723</v>
      </c>
      <c r="AB8" s="6">
        <f>$K$8*$V$8</f>
        <v>0</v>
      </c>
      <c r="AC8" s="6">
        <f>$M$8*$W$8</f>
        <v>159923.38856000002</v>
      </c>
      <c r="AD8" s="6">
        <f>$O$8*$X$8</f>
        <v>290521.03158000001</v>
      </c>
      <c r="AE8" s="6">
        <f>$K$8*$Y$8</f>
        <v>0</v>
      </c>
      <c r="AF8" s="6">
        <f ca="1">$M$8*$Z$8</f>
        <v>244723.7934686075</v>
      </c>
      <c r="AG8" s="6">
        <f>$O$8*$AA$8</f>
        <v>296856.89440615184</v>
      </c>
      <c r="AI8" s="36" t="s">
        <v>78</v>
      </c>
      <c r="AJ8" s="37">
        <f>+$AJ$3+$AJ$4+$AJ$5+$AJ$6</f>
        <v>8426693.6114572007</v>
      </c>
      <c r="AK8" s="37">
        <f ca="1">+$AK$3+$AK$4+$AK$5+$AK$6</f>
        <v>9258098.5698294844</v>
      </c>
      <c r="AL8" s="38">
        <f t="shared" ca="1" si="0"/>
        <v>9.8663247616108674E-2</v>
      </c>
      <c r="AN8" s="36" t="s">
        <v>78</v>
      </c>
      <c r="AO8" s="37">
        <f>+$AO$3+$AO$4+$AO$5+$AO$6</f>
        <v>1674735.2710814003</v>
      </c>
      <c r="AP8" s="37">
        <f>+$AP$3+$AP$4+$AP$5+$AP$6</f>
        <v>1736247.8350066515</v>
      </c>
      <c r="AQ8" s="38">
        <f t="shared" si="1"/>
        <v>3.6729723788244906E-2</v>
      </c>
      <c r="AS8" s="36" t="s">
        <v>78</v>
      </c>
      <c r="AT8" s="37">
        <f>+$AT$3+$AT$4+$AT$5+$AT$6</f>
        <v>10101428.882538602</v>
      </c>
      <c r="AU8" s="37">
        <f ca="1">+$AU$3+$AU$4+$AU$5+$AU$6</f>
        <v>10994346.404836135</v>
      </c>
      <c r="AV8" s="38">
        <f t="shared" ca="1" si="2"/>
        <v>8.8395169899283976E-2</v>
      </c>
    </row>
    <row r="9" spans="1:48" ht="11.25" customHeight="1" x14ac:dyDescent="0.3">
      <c r="A9" s="4" t="s">
        <v>21</v>
      </c>
      <c r="B9" s="4" t="s">
        <v>35</v>
      </c>
      <c r="C9" s="4" t="s">
        <v>36</v>
      </c>
      <c r="D9" s="4" t="s">
        <v>34</v>
      </c>
      <c r="E9" s="4" t="s">
        <v>25</v>
      </c>
      <c r="F9" s="4" t="s">
        <v>25</v>
      </c>
      <c r="G9" s="4" t="s">
        <v>25</v>
      </c>
      <c r="H9" s="4" t="s">
        <v>38</v>
      </c>
      <c r="I9" s="5">
        <v>44531</v>
      </c>
      <c r="J9" s="6">
        <v>0</v>
      </c>
      <c r="K9" s="6">
        <v>0</v>
      </c>
      <c r="L9" s="6">
        <v>2118.2919999999999</v>
      </c>
      <c r="M9" s="6">
        <v>2118.2919999999999</v>
      </c>
      <c r="N9" s="6">
        <v>2118.2919999999999</v>
      </c>
      <c r="O9" s="6">
        <v>2118.2919999999999</v>
      </c>
      <c r="P9" s="6">
        <v>0</v>
      </c>
      <c r="Q9" s="4" t="s">
        <v>26</v>
      </c>
      <c r="R9" s="4">
        <v>0</v>
      </c>
      <c r="S9" s="6">
        <v>0</v>
      </c>
      <c r="T9" s="6">
        <v>10</v>
      </c>
      <c r="U9" s="6">
        <v>40</v>
      </c>
      <c r="V9" s="6">
        <f>IF(ISERROR(VLOOKUP($S$9,'TAR FIN'!$A$1:$O$85,15,0)),0,VLOOKUP($S$9,'TAR FIN'!$A$1:$O$85,15,0))</f>
        <v>0</v>
      </c>
      <c r="W9" s="6">
        <f>IF(ISERROR(VLOOKUP($T$9,'TAR FIN'!$A$1:$O$85,15,0)),0,VLOOKUP($T$9,'TAR FIN'!$A$1:$O$85,15,0))</f>
        <v>66.040000000000006</v>
      </c>
      <c r="X9" s="6">
        <f>IF(ISERROR(VLOOKUP($U$9,'TAR FIN'!$A$1:$O$85,15,0)),0,VLOOKUP($U$9,'TAR FIN'!$A$1:$O$85,15,0))</f>
        <v>119.97</v>
      </c>
      <c r="Y9" s="6"/>
      <c r="Z9" s="6">
        <f ca="1">('TUSD BE'!$AM$12+'TUSD BF'!$AM$12+'TUSD CVA'!$AM$12)*1</f>
        <v>101.0581345617458</v>
      </c>
      <c r="AA9" s="6">
        <f>('TE BE'!$AB$6+'TE BF'!$AB$6+'TE CVA'!$AB$6)*1</f>
        <v>122.58638016056723</v>
      </c>
      <c r="AB9" s="6">
        <f>$K$9*$V$9</f>
        <v>0</v>
      </c>
      <c r="AC9" s="6">
        <f>$M$9*$W$9</f>
        <v>139892.00367999999</v>
      </c>
      <c r="AD9" s="6">
        <f>$O$9*$X$9</f>
        <v>254131.49123999997</v>
      </c>
      <c r="AE9" s="6">
        <f>$K$9*$Y$9</f>
        <v>0</v>
      </c>
      <c r="AF9" s="6">
        <f ca="1">$M$9*$Z$9</f>
        <v>214070.63797706962</v>
      </c>
      <c r="AG9" s="6">
        <f>$O$9*$AA$9</f>
        <v>259673.74840308828</v>
      </c>
      <c r="AI9" s="36" t="s">
        <v>608</v>
      </c>
      <c r="AJ9" s="37">
        <f>AJ8+AJ7</f>
        <v>19203636.947799593</v>
      </c>
      <c r="AK9" s="37">
        <f ca="1">AK8+AK7</f>
        <v>21166191.003973588</v>
      </c>
      <c r="AL9" s="38">
        <f t="shared" ca="1" si="0"/>
        <v>0.10219699849089636</v>
      </c>
      <c r="AN9" s="36" t="s">
        <v>608</v>
      </c>
      <c r="AO9" s="37">
        <f>AO8+AO7</f>
        <v>5258503.9280756013</v>
      </c>
      <c r="AP9" s="37">
        <f>AP8+AP7</f>
        <v>5400051.3894272521</v>
      </c>
      <c r="AQ9" s="38">
        <f t="shared" si="1"/>
        <v>2.6917819837676049E-2</v>
      </c>
      <c r="AS9" s="36" t="s">
        <v>608</v>
      </c>
      <c r="AT9" s="37">
        <f>AT8+AT7</f>
        <v>24462140.875875197</v>
      </c>
      <c r="AU9" s="37">
        <f ca="1">AU8+AU7</f>
        <v>26566242.393400837</v>
      </c>
      <c r="AV9" s="38">
        <f t="shared" ca="1" si="2"/>
        <v>8.6014610421965454E-2</v>
      </c>
    </row>
    <row r="10" spans="1:48" ht="11.25" customHeight="1" x14ac:dyDescent="0.3">
      <c r="A10" s="4" t="s">
        <v>28</v>
      </c>
      <c r="B10" s="4" t="s">
        <v>35</v>
      </c>
      <c r="C10" s="4" t="s">
        <v>36</v>
      </c>
      <c r="D10" s="4" t="s">
        <v>34</v>
      </c>
      <c r="E10" s="4" t="s">
        <v>25</v>
      </c>
      <c r="F10" s="4" t="s">
        <v>25</v>
      </c>
      <c r="G10" s="4" t="s">
        <v>25</v>
      </c>
      <c r="H10" s="4" t="s">
        <v>38</v>
      </c>
      <c r="I10" s="5">
        <v>44531</v>
      </c>
      <c r="J10" s="6">
        <v>0</v>
      </c>
      <c r="K10" s="6">
        <v>0</v>
      </c>
      <c r="L10" s="6">
        <v>4.9939999999999998</v>
      </c>
      <c r="M10" s="6">
        <v>4.9939999999999998</v>
      </c>
      <c r="N10" s="6">
        <v>4.9939999999999998</v>
      </c>
      <c r="O10" s="6">
        <v>4.9939999999999998</v>
      </c>
      <c r="P10" s="6">
        <v>0</v>
      </c>
      <c r="Q10" s="4" t="s">
        <v>26</v>
      </c>
      <c r="R10" s="4">
        <v>0</v>
      </c>
      <c r="S10" s="6">
        <v>0</v>
      </c>
      <c r="T10" s="6">
        <v>10</v>
      </c>
      <c r="U10" s="6">
        <v>40</v>
      </c>
      <c r="V10" s="6">
        <f>IF(ISERROR(VLOOKUP($S$10,'TAR FIN'!$A$1:$O$85,15,0)),0,VLOOKUP($S$10,'TAR FIN'!$A$1:$O$85,15,0))</f>
        <v>0</v>
      </c>
      <c r="W10" s="6">
        <f>IF(ISERROR(VLOOKUP($T$10,'TAR FIN'!$A$1:$O$85,15,0)),0,VLOOKUP($T$10,'TAR FIN'!$A$1:$O$85,15,0))</f>
        <v>66.040000000000006</v>
      </c>
      <c r="X10" s="6">
        <f>IF(ISERROR(VLOOKUP($U$10,'TAR FIN'!$A$1:$O$85,15,0)),0,VLOOKUP($U$10,'TAR FIN'!$A$1:$O$85,15,0))</f>
        <v>119.97</v>
      </c>
      <c r="Y10" s="6"/>
      <c r="Z10" s="6">
        <f ca="1">('TUSD BE'!$AM$12+'TUSD BF'!$AM$12+'TUSD CVA'!$AM$12)*1</f>
        <v>101.0581345617458</v>
      </c>
      <c r="AA10" s="6">
        <f>('TE BE'!$AB$6+'TE BF'!$AB$6+'TE CVA'!$AB$6)*1</f>
        <v>122.58638016056723</v>
      </c>
      <c r="AB10" s="6">
        <f>$K$10*$V$10</f>
        <v>0</v>
      </c>
      <c r="AC10" s="6">
        <f>$M$10*$W$10</f>
        <v>329.80376000000001</v>
      </c>
      <c r="AD10" s="6">
        <f>$O$10*$X$10</f>
        <v>599.13018</v>
      </c>
      <c r="AE10" s="6">
        <f>$K$10*$Y$10</f>
        <v>0</v>
      </c>
      <c r="AF10" s="6">
        <f ca="1">$M$10*$Z$10</f>
        <v>504.6843240013585</v>
      </c>
      <c r="AG10" s="6">
        <f>$O$10*$AA$10</f>
        <v>612.19638252187269</v>
      </c>
    </row>
    <row r="11" spans="1:48" ht="11.25" customHeight="1" x14ac:dyDescent="0.3">
      <c r="A11" s="4" t="s">
        <v>21</v>
      </c>
      <c r="B11" s="4" t="s">
        <v>35</v>
      </c>
      <c r="C11" s="4" t="s">
        <v>36</v>
      </c>
      <c r="D11" s="4" t="s">
        <v>34</v>
      </c>
      <c r="E11" s="4" t="s">
        <v>25</v>
      </c>
      <c r="F11" s="4" t="s">
        <v>25</v>
      </c>
      <c r="G11" s="4" t="s">
        <v>25</v>
      </c>
      <c r="H11" s="4" t="s">
        <v>38</v>
      </c>
      <c r="I11" s="5">
        <v>44562</v>
      </c>
      <c r="J11" s="6">
        <v>0</v>
      </c>
      <c r="K11" s="6">
        <v>0</v>
      </c>
      <c r="L11" s="6">
        <v>2232.203</v>
      </c>
      <c r="M11" s="6">
        <v>2232.203</v>
      </c>
      <c r="N11" s="6">
        <v>2232.203</v>
      </c>
      <c r="O11" s="6">
        <v>2232.203</v>
      </c>
      <c r="P11" s="6">
        <v>0</v>
      </c>
      <c r="Q11" s="4" t="s">
        <v>26</v>
      </c>
      <c r="R11" s="4">
        <v>0</v>
      </c>
      <c r="S11" s="6">
        <v>0</v>
      </c>
      <c r="T11" s="6">
        <v>10</v>
      </c>
      <c r="U11" s="6">
        <v>40</v>
      </c>
      <c r="V11" s="6">
        <f>IF(ISERROR(VLOOKUP($S$11,'TAR FIN'!$A$1:$O$85,15,0)),0,VLOOKUP($S$11,'TAR FIN'!$A$1:$O$85,15,0))</f>
        <v>0</v>
      </c>
      <c r="W11" s="6">
        <f>IF(ISERROR(VLOOKUP($T$11,'TAR FIN'!$A$1:$O$85,15,0)),0,VLOOKUP($T$11,'TAR FIN'!$A$1:$O$85,15,0))</f>
        <v>66.040000000000006</v>
      </c>
      <c r="X11" s="6">
        <f>IF(ISERROR(VLOOKUP($U$11,'TAR FIN'!$A$1:$O$85,15,0)),0,VLOOKUP($U$11,'TAR FIN'!$A$1:$O$85,15,0))</f>
        <v>119.97</v>
      </c>
      <c r="Y11" s="6"/>
      <c r="Z11" s="6">
        <f ca="1">('TUSD BE'!$AM$12+'TUSD BF'!$AM$12+'TUSD CVA'!$AM$12)*1</f>
        <v>101.0581345617458</v>
      </c>
      <c r="AA11" s="6">
        <f>('TE BE'!$AB$6+'TE BF'!$AB$6+'TE CVA'!$AB$6)*1</f>
        <v>122.58638016056723</v>
      </c>
      <c r="AB11" s="6">
        <f>$K$11*$V$11</f>
        <v>0</v>
      </c>
      <c r="AC11" s="6">
        <f>$M$11*$W$11</f>
        <v>147414.68612</v>
      </c>
      <c r="AD11" s="6">
        <f>$O$11*$X$11</f>
        <v>267797.39390999998</v>
      </c>
      <c r="AE11" s="6">
        <f>$K$11*$Y$11</f>
        <v>0</v>
      </c>
      <c r="AF11" s="6">
        <f ca="1">$M$11*$Z$11</f>
        <v>225582.27114313268</v>
      </c>
      <c r="AG11" s="6">
        <f>$O$11*$AA$11</f>
        <v>273637.68555355864</v>
      </c>
    </row>
    <row r="12" spans="1:48" ht="11.25" customHeight="1" x14ac:dyDescent="0.3">
      <c r="A12" s="4" t="s">
        <v>28</v>
      </c>
      <c r="B12" s="4" t="s">
        <v>35</v>
      </c>
      <c r="C12" s="4" t="s">
        <v>36</v>
      </c>
      <c r="D12" s="4" t="s">
        <v>34</v>
      </c>
      <c r="E12" s="4" t="s">
        <v>25</v>
      </c>
      <c r="F12" s="4" t="s">
        <v>25</v>
      </c>
      <c r="G12" s="4" t="s">
        <v>25</v>
      </c>
      <c r="H12" s="4" t="s">
        <v>38</v>
      </c>
      <c r="I12" s="5">
        <v>44562</v>
      </c>
      <c r="J12" s="6">
        <v>0</v>
      </c>
      <c r="K12" s="6">
        <v>0</v>
      </c>
      <c r="L12" s="6">
        <v>5.4139999999999997</v>
      </c>
      <c r="M12" s="6">
        <v>5.4139999999999997</v>
      </c>
      <c r="N12" s="6">
        <v>5.4139999999999997</v>
      </c>
      <c r="O12" s="6">
        <v>5.4139999999999997</v>
      </c>
      <c r="P12" s="6">
        <v>0</v>
      </c>
      <c r="Q12" s="4" t="s">
        <v>26</v>
      </c>
      <c r="R12" s="4">
        <v>0</v>
      </c>
      <c r="S12" s="6">
        <v>0</v>
      </c>
      <c r="T12" s="6">
        <v>10</v>
      </c>
      <c r="U12" s="6">
        <v>40</v>
      </c>
      <c r="V12" s="6">
        <f>IF(ISERROR(VLOOKUP($S$12,'TAR FIN'!$A$1:$O$85,15,0)),0,VLOOKUP($S$12,'TAR FIN'!$A$1:$O$85,15,0))</f>
        <v>0</v>
      </c>
      <c r="W12" s="6">
        <f>IF(ISERROR(VLOOKUP($T$12,'TAR FIN'!$A$1:$O$85,15,0)),0,VLOOKUP($T$12,'TAR FIN'!$A$1:$O$85,15,0))</f>
        <v>66.040000000000006</v>
      </c>
      <c r="X12" s="6">
        <f>IF(ISERROR(VLOOKUP($U$12,'TAR FIN'!$A$1:$O$85,15,0)),0,VLOOKUP($U$12,'TAR FIN'!$A$1:$O$85,15,0))</f>
        <v>119.97</v>
      </c>
      <c r="Y12" s="6"/>
      <c r="Z12" s="6">
        <f ca="1">('TUSD BE'!$AM$12+'TUSD BF'!$AM$12+'TUSD CVA'!$AM$12)*1</f>
        <v>101.0581345617458</v>
      </c>
      <c r="AA12" s="6">
        <f>('TE BE'!$AB$6+'TE BF'!$AB$6+'TE CVA'!$AB$6)*1</f>
        <v>122.58638016056723</v>
      </c>
      <c r="AB12" s="6">
        <f>$K$12*$V$12</f>
        <v>0</v>
      </c>
      <c r="AC12" s="6">
        <f>$M$12*$W$12</f>
        <v>357.54056000000003</v>
      </c>
      <c r="AD12" s="6">
        <f>$O$12*$X$12</f>
        <v>649.51757999999995</v>
      </c>
      <c r="AE12" s="6">
        <f>$K$12*$Y$12</f>
        <v>0</v>
      </c>
      <c r="AF12" s="6">
        <f ca="1">$M$12*$Z$12</f>
        <v>547.1287405172917</v>
      </c>
      <c r="AG12" s="6">
        <f>$O$12*$AA$12</f>
        <v>663.68266218931092</v>
      </c>
    </row>
    <row r="13" spans="1:48" ht="11.25" customHeight="1" x14ac:dyDescent="0.3">
      <c r="A13" s="4" t="s">
        <v>21</v>
      </c>
      <c r="B13" s="4" t="s">
        <v>35</v>
      </c>
      <c r="C13" s="4" t="s">
        <v>36</v>
      </c>
      <c r="D13" s="4" t="s">
        <v>34</v>
      </c>
      <c r="E13" s="4" t="s">
        <v>25</v>
      </c>
      <c r="F13" s="4" t="s">
        <v>25</v>
      </c>
      <c r="G13" s="4" t="s">
        <v>25</v>
      </c>
      <c r="H13" s="4" t="s">
        <v>38</v>
      </c>
      <c r="I13" s="5">
        <v>44593</v>
      </c>
      <c r="J13" s="6">
        <v>0</v>
      </c>
      <c r="K13" s="6">
        <v>0</v>
      </c>
      <c r="L13" s="6">
        <v>2134.518</v>
      </c>
      <c r="M13" s="6">
        <v>2134.518</v>
      </c>
      <c r="N13" s="6">
        <v>2134.518</v>
      </c>
      <c r="O13" s="6">
        <v>2134.518</v>
      </c>
      <c r="P13" s="6">
        <v>0</v>
      </c>
      <c r="Q13" s="4" t="s">
        <v>26</v>
      </c>
      <c r="R13" s="4">
        <v>0</v>
      </c>
      <c r="S13" s="6">
        <v>0</v>
      </c>
      <c r="T13" s="6">
        <v>10</v>
      </c>
      <c r="U13" s="6">
        <v>40</v>
      </c>
      <c r="V13" s="6">
        <f>IF(ISERROR(VLOOKUP($S$13,'TAR FIN'!$A$1:$O$85,15,0)),0,VLOOKUP($S$13,'TAR FIN'!$A$1:$O$85,15,0))</f>
        <v>0</v>
      </c>
      <c r="W13" s="6">
        <f>IF(ISERROR(VLOOKUP($T$13,'TAR FIN'!$A$1:$O$85,15,0)),0,VLOOKUP($T$13,'TAR FIN'!$A$1:$O$85,15,0))</f>
        <v>66.040000000000006</v>
      </c>
      <c r="X13" s="6">
        <f>IF(ISERROR(VLOOKUP($U$13,'TAR FIN'!$A$1:$O$85,15,0)),0,VLOOKUP($U$13,'TAR FIN'!$A$1:$O$85,15,0))</f>
        <v>119.97</v>
      </c>
      <c r="Y13" s="6"/>
      <c r="Z13" s="6">
        <f ca="1">('TUSD BE'!$AM$12+'TUSD BF'!$AM$12+'TUSD CVA'!$AM$12)*1</f>
        <v>101.0581345617458</v>
      </c>
      <c r="AA13" s="6">
        <f>('TE BE'!$AB$6+'TE BF'!$AB$6+'TE CVA'!$AB$6)*1</f>
        <v>122.58638016056723</v>
      </c>
      <c r="AB13" s="6">
        <f>$K$13*$V$13</f>
        <v>0</v>
      </c>
      <c r="AC13" s="6">
        <f>$M$13*$W$13</f>
        <v>140963.56872000001</v>
      </c>
      <c r="AD13" s="6">
        <f>$O$13*$X$13</f>
        <v>256078.12445999999</v>
      </c>
      <c r="AE13" s="6">
        <f>$K$13*$Y$13</f>
        <v>0</v>
      </c>
      <c r="AF13" s="6">
        <f ca="1">$M$13*$Z$13</f>
        <v>215710.40726846852</v>
      </c>
      <c r="AG13" s="6">
        <f>$O$13*$AA$13</f>
        <v>261662.83500757365</v>
      </c>
    </row>
    <row r="14" spans="1:48" ht="11.25" customHeight="1" x14ac:dyDescent="0.3">
      <c r="A14" s="4" t="s">
        <v>28</v>
      </c>
      <c r="B14" s="4" t="s">
        <v>35</v>
      </c>
      <c r="C14" s="4" t="s">
        <v>36</v>
      </c>
      <c r="D14" s="4" t="s">
        <v>34</v>
      </c>
      <c r="E14" s="4" t="s">
        <v>25</v>
      </c>
      <c r="F14" s="4" t="s">
        <v>25</v>
      </c>
      <c r="G14" s="4" t="s">
        <v>25</v>
      </c>
      <c r="H14" s="4" t="s">
        <v>38</v>
      </c>
      <c r="I14" s="5">
        <v>44593</v>
      </c>
      <c r="J14" s="6">
        <v>0</v>
      </c>
      <c r="K14" s="6">
        <v>0</v>
      </c>
      <c r="L14" s="6">
        <v>8.0820000000000007</v>
      </c>
      <c r="M14" s="6">
        <v>8.0820000000000007</v>
      </c>
      <c r="N14" s="6">
        <v>8.0820000000000007</v>
      </c>
      <c r="O14" s="6">
        <v>8.0820000000000007</v>
      </c>
      <c r="P14" s="6">
        <v>0</v>
      </c>
      <c r="Q14" s="4" t="s">
        <v>26</v>
      </c>
      <c r="R14" s="4">
        <v>0</v>
      </c>
      <c r="S14" s="6">
        <v>0</v>
      </c>
      <c r="T14" s="6">
        <v>10</v>
      </c>
      <c r="U14" s="6">
        <v>40</v>
      </c>
      <c r="V14" s="6">
        <f>IF(ISERROR(VLOOKUP($S$14,'TAR FIN'!$A$1:$O$85,15,0)),0,VLOOKUP($S$14,'TAR FIN'!$A$1:$O$85,15,0))</f>
        <v>0</v>
      </c>
      <c r="W14" s="6">
        <f>IF(ISERROR(VLOOKUP($T$14,'TAR FIN'!$A$1:$O$85,15,0)),0,VLOOKUP($T$14,'TAR FIN'!$A$1:$O$85,15,0))</f>
        <v>66.040000000000006</v>
      </c>
      <c r="X14" s="6">
        <f>IF(ISERROR(VLOOKUP($U$14,'TAR FIN'!$A$1:$O$85,15,0)),0,VLOOKUP($U$14,'TAR FIN'!$A$1:$O$85,15,0))</f>
        <v>119.97</v>
      </c>
      <c r="Y14" s="6"/>
      <c r="Z14" s="6">
        <f ca="1">('TUSD BE'!$AM$12+'TUSD BF'!$AM$12+'TUSD CVA'!$AM$12)*1</f>
        <v>101.0581345617458</v>
      </c>
      <c r="AA14" s="6">
        <f>('TE BE'!$AB$6+'TE BF'!$AB$6+'TE CVA'!$AB$6)*1</f>
        <v>122.58638016056723</v>
      </c>
      <c r="AB14" s="6">
        <f>$K$14*$V$14</f>
        <v>0</v>
      </c>
      <c r="AC14" s="6">
        <f>$M$14*$W$14</f>
        <v>533.7352800000001</v>
      </c>
      <c r="AD14" s="6">
        <f>$O$14*$X$14</f>
        <v>969.59754000000009</v>
      </c>
      <c r="AE14" s="6">
        <f>$K$14*$Y$14</f>
        <v>0</v>
      </c>
      <c r="AF14" s="6">
        <f ca="1">$M$14*$Z$14</f>
        <v>816.75184352802967</v>
      </c>
      <c r="AG14" s="6">
        <f>$O$14*$AA$14</f>
        <v>990.74312445770443</v>
      </c>
    </row>
    <row r="15" spans="1:48" ht="11.25" customHeight="1" x14ac:dyDescent="0.3">
      <c r="A15" s="4" t="s">
        <v>21</v>
      </c>
      <c r="B15" s="4" t="s">
        <v>35</v>
      </c>
      <c r="C15" s="4" t="s">
        <v>36</v>
      </c>
      <c r="D15" s="4" t="s">
        <v>34</v>
      </c>
      <c r="E15" s="4" t="s">
        <v>25</v>
      </c>
      <c r="F15" s="4" t="s">
        <v>25</v>
      </c>
      <c r="G15" s="4" t="s">
        <v>25</v>
      </c>
      <c r="H15" s="4" t="s">
        <v>38</v>
      </c>
      <c r="I15" s="5">
        <v>44621</v>
      </c>
      <c r="J15" s="6">
        <v>0</v>
      </c>
      <c r="K15" s="6">
        <v>0</v>
      </c>
      <c r="L15" s="6">
        <v>2624.4560000000001</v>
      </c>
      <c r="M15" s="6">
        <v>2624.4560000000001</v>
      </c>
      <c r="N15" s="6">
        <v>2624.4560000000001</v>
      </c>
      <c r="O15" s="6">
        <v>2624.4560000000001</v>
      </c>
      <c r="P15" s="6">
        <v>0</v>
      </c>
      <c r="Q15" s="4" t="s">
        <v>26</v>
      </c>
      <c r="R15" s="4">
        <v>0</v>
      </c>
      <c r="S15" s="6">
        <v>0</v>
      </c>
      <c r="T15" s="6">
        <v>10</v>
      </c>
      <c r="U15" s="6">
        <v>40</v>
      </c>
      <c r="V15" s="6">
        <f>IF(ISERROR(VLOOKUP($S$15,'TAR FIN'!$A$1:$O$85,15,0)),0,VLOOKUP($S$15,'TAR FIN'!$A$1:$O$85,15,0))</f>
        <v>0</v>
      </c>
      <c r="W15" s="6">
        <f>IF(ISERROR(VLOOKUP($T$15,'TAR FIN'!$A$1:$O$85,15,0)),0,VLOOKUP($T$15,'TAR FIN'!$A$1:$O$85,15,0))</f>
        <v>66.040000000000006</v>
      </c>
      <c r="X15" s="6">
        <f>IF(ISERROR(VLOOKUP($U$15,'TAR FIN'!$A$1:$O$85,15,0)),0,VLOOKUP($U$15,'TAR FIN'!$A$1:$O$85,15,0))</f>
        <v>119.97</v>
      </c>
      <c r="Y15" s="6"/>
      <c r="Z15" s="6">
        <f ca="1">('TUSD BE'!$AM$12+'TUSD BF'!$AM$12+'TUSD CVA'!$AM$12)*1</f>
        <v>101.0581345617458</v>
      </c>
      <c r="AA15" s="6">
        <f>('TE BE'!$AB$6+'TE BF'!$AB$6+'TE CVA'!$AB$6)*1</f>
        <v>122.58638016056723</v>
      </c>
      <c r="AB15" s="6">
        <f>$K$15*$V$15</f>
        <v>0</v>
      </c>
      <c r="AC15" s="6">
        <f>$M$15*$W$15</f>
        <v>173319.07424000002</v>
      </c>
      <c r="AD15" s="6">
        <f>$O$15*$X$15</f>
        <v>314855.98632000003</v>
      </c>
      <c r="AE15" s="6">
        <f>$K$15*$Y$15</f>
        <v>0</v>
      </c>
      <c r="AF15" s="6">
        <f ca="1">$M$15*$Z$15</f>
        <v>265222.62759938114</v>
      </c>
      <c r="AG15" s="6">
        <f>$O$15*$AA$15</f>
        <v>321722.56093068165</v>
      </c>
    </row>
    <row r="16" spans="1:48" ht="11.25" customHeight="1" x14ac:dyDescent="0.3">
      <c r="A16" s="4" t="s">
        <v>28</v>
      </c>
      <c r="B16" s="4" t="s">
        <v>35</v>
      </c>
      <c r="C16" s="4" t="s">
        <v>36</v>
      </c>
      <c r="D16" s="4" t="s">
        <v>34</v>
      </c>
      <c r="E16" s="4" t="s">
        <v>25</v>
      </c>
      <c r="F16" s="4" t="s">
        <v>25</v>
      </c>
      <c r="G16" s="4" t="s">
        <v>25</v>
      </c>
      <c r="H16" s="4" t="s">
        <v>38</v>
      </c>
      <c r="I16" s="5">
        <v>44621</v>
      </c>
      <c r="J16" s="6">
        <v>0</v>
      </c>
      <c r="K16" s="6">
        <v>0</v>
      </c>
      <c r="L16" s="6">
        <v>14.577999999999999</v>
      </c>
      <c r="M16" s="6">
        <v>14.577999999999999</v>
      </c>
      <c r="N16" s="6">
        <v>14.577999999999999</v>
      </c>
      <c r="O16" s="6">
        <v>14.577999999999999</v>
      </c>
      <c r="P16" s="6">
        <v>0</v>
      </c>
      <c r="Q16" s="4" t="s">
        <v>26</v>
      </c>
      <c r="R16" s="4">
        <v>0</v>
      </c>
      <c r="S16" s="6">
        <v>0</v>
      </c>
      <c r="T16" s="6">
        <v>10</v>
      </c>
      <c r="U16" s="6">
        <v>40</v>
      </c>
      <c r="V16" s="6">
        <f>IF(ISERROR(VLOOKUP($S$16,'TAR FIN'!$A$1:$O$85,15,0)),0,VLOOKUP($S$16,'TAR FIN'!$A$1:$O$85,15,0))</f>
        <v>0</v>
      </c>
      <c r="W16" s="6">
        <f>IF(ISERROR(VLOOKUP($T$16,'TAR FIN'!$A$1:$O$85,15,0)),0,VLOOKUP($T$16,'TAR FIN'!$A$1:$O$85,15,0))</f>
        <v>66.040000000000006</v>
      </c>
      <c r="X16" s="6">
        <f>IF(ISERROR(VLOOKUP($U$16,'TAR FIN'!$A$1:$O$85,15,0)),0,VLOOKUP($U$16,'TAR FIN'!$A$1:$O$85,15,0))</f>
        <v>119.97</v>
      </c>
      <c r="Y16" s="6"/>
      <c r="Z16" s="6">
        <f ca="1">('TUSD BE'!$AM$12+'TUSD BF'!$AM$12+'TUSD CVA'!$AM$12)*1</f>
        <v>101.0581345617458</v>
      </c>
      <c r="AA16" s="6">
        <f>('TE BE'!$AB$6+'TE BF'!$AB$6+'TE CVA'!$AB$6)*1</f>
        <v>122.58638016056723</v>
      </c>
      <c r="AB16" s="6">
        <f>$K$16*$V$16</f>
        <v>0</v>
      </c>
      <c r="AC16" s="6">
        <f>$M$16*$W$16</f>
        <v>962.73112000000003</v>
      </c>
      <c r="AD16" s="6">
        <f>$O$16*$X$16</f>
        <v>1748.92266</v>
      </c>
      <c r="AE16" s="6">
        <f>$K$16*$Y$16</f>
        <v>0</v>
      </c>
      <c r="AF16" s="6">
        <f ca="1">$M$16*$Z$16</f>
        <v>1473.2254856411303</v>
      </c>
      <c r="AG16" s="6">
        <f>$O$16*$AA$16</f>
        <v>1787.0642499807491</v>
      </c>
    </row>
    <row r="17" spans="1:33" ht="11.25" customHeight="1" x14ac:dyDescent="0.3">
      <c r="A17" s="4" t="s">
        <v>21</v>
      </c>
      <c r="B17" s="4" t="s">
        <v>35</v>
      </c>
      <c r="C17" s="4" t="s">
        <v>36</v>
      </c>
      <c r="D17" s="4" t="s">
        <v>34</v>
      </c>
      <c r="E17" s="4" t="s">
        <v>25</v>
      </c>
      <c r="F17" s="4" t="s">
        <v>25</v>
      </c>
      <c r="G17" s="4" t="s">
        <v>25</v>
      </c>
      <c r="H17" s="4" t="s">
        <v>38</v>
      </c>
      <c r="I17" s="5">
        <v>44652</v>
      </c>
      <c r="J17" s="6">
        <v>0</v>
      </c>
      <c r="K17" s="6">
        <v>0</v>
      </c>
      <c r="L17" s="6">
        <v>2329.02</v>
      </c>
      <c r="M17" s="6">
        <v>2329.02</v>
      </c>
      <c r="N17" s="6">
        <v>2329.02</v>
      </c>
      <c r="O17" s="6">
        <v>2329.02</v>
      </c>
      <c r="P17" s="6">
        <v>0</v>
      </c>
      <c r="Q17" s="4" t="s">
        <v>26</v>
      </c>
      <c r="R17" s="4">
        <v>0</v>
      </c>
      <c r="S17" s="6">
        <v>0</v>
      </c>
      <c r="T17" s="6">
        <v>10</v>
      </c>
      <c r="U17" s="6">
        <v>40</v>
      </c>
      <c r="V17" s="6">
        <f>IF(ISERROR(VLOOKUP($S$17,'TAR FIN'!$A$1:$O$85,15,0)),0,VLOOKUP($S$17,'TAR FIN'!$A$1:$O$85,15,0))</f>
        <v>0</v>
      </c>
      <c r="W17" s="6">
        <f>IF(ISERROR(VLOOKUP($T$17,'TAR FIN'!$A$1:$O$85,15,0)),0,VLOOKUP($T$17,'TAR FIN'!$A$1:$O$85,15,0))</f>
        <v>66.040000000000006</v>
      </c>
      <c r="X17" s="6">
        <f>IF(ISERROR(VLOOKUP($U$17,'TAR FIN'!$A$1:$O$85,15,0)),0,VLOOKUP($U$17,'TAR FIN'!$A$1:$O$85,15,0))</f>
        <v>119.97</v>
      </c>
      <c r="Y17" s="6"/>
      <c r="Z17" s="6">
        <f ca="1">('TUSD BE'!$AM$12+'TUSD BF'!$AM$12+'TUSD CVA'!$AM$12)*1</f>
        <v>101.0581345617458</v>
      </c>
      <c r="AA17" s="6">
        <f>('TE BE'!$AB$6+'TE BF'!$AB$6+'TE CVA'!$AB$6)*1</f>
        <v>122.58638016056723</v>
      </c>
      <c r="AB17" s="6">
        <f>$K$17*$V$17</f>
        <v>0</v>
      </c>
      <c r="AC17" s="6">
        <f>$M$17*$W$17</f>
        <v>153808.48080000002</v>
      </c>
      <c r="AD17" s="6">
        <f>$O$17*$X$17</f>
        <v>279412.5294</v>
      </c>
      <c r="AE17" s="6">
        <f>$K$17*$Y$17</f>
        <v>0</v>
      </c>
      <c r="AF17" s="6">
        <f ca="1">$M$17*$Z$17</f>
        <v>235366.4165569972</v>
      </c>
      <c r="AG17" s="6">
        <f>$O$17*$AA$17</f>
        <v>285506.13112156431</v>
      </c>
    </row>
    <row r="18" spans="1:33" ht="11.25" customHeight="1" x14ac:dyDescent="0.3">
      <c r="A18" s="4" t="s">
        <v>27</v>
      </c>
      <c r="B18" s="4" t="s">
        <v>35</v>
      </c>
      <c r="C18" s="4" t="s">
        <v>36</v>
      </c>
      <c r="D18" s="4" t="s">
        <v>34</v>
      </c>
      <c r="E18" s="4" t="s">
        <v>25</v>
      </c>
      <c r="F18" s="4" t="s">
        <v>25</v>
      </c>
      <c r="G18" s="4" t="s">
        <v>25</v>
      </c>
      <c r="H18" s="4" t="s">
        <v>38</v>
      </c>
      <c r="I18" s="5">
        <v>44652</v>
      </c>
      <c r="J18" s="6">
        <v>0</v>
      </c>
      <c r="K18" s="6">
        <v>0</v>
      </c>
      <c r="L18" s="6">
        <v>2.8639999999999999</v>
      </c>
      <c r="M18" s="6">
        <v>2.8639999999999999</v>
      </c>
      <c r="N18" s="6">
        <v>2.8639999999999999</v>
      </c>
      <c r="O18" s="6">
        <v>2.8639999999999999</v>
      </c>
      <c r="P18" s="6">
        <v>0</v>
      </c>
      <c r="Q18" s="4" t="s">
        <v>26</v>
      </c>
      <c r="R18" s="4">
        <v>0</v>
      </c>
      <c r="S18" s="6">
        <v>0</v>
      </c>
      <c r="T18" s="6">
        <v>10</v>
      </c>
      <c r="U18" s="6">
        <v>40</v>
      </c>
      <c r="V18" s="6">
        <f>IF(ISERROR(VLOOKUP($S$18,'TAR FIN'!$A$1:$O$85,15,0)),0,VLOOKUP($S$18,'TAR FIN'!$A$1:$O$85,15,0))</f>
        <v>0</v>
      </c>
      <c r="W18" s="6">
        <f>IF(ISERROR(VLOOKUP($T$18,'TAR FIN'!$A$1:$O$85,15,0)),0,VLOOKUP($T$18,'TAR FIN'!$A$1:$O$85,15,0))</f>
        <v>66.040000000000006</v>
      </c>
      <c r="X18" s="6">
        <f>IF(ISERROR(VLOOKUP($U$18,'TAR FIN'!$A$1:$O$85,15,0)),0,VLOOKUP($U$18,'TAR FIN'!$A$1:$O$85,15,0))</f>
        <v>119.97</v>
      </c>
      <c r="Y18" s="6"/>
      <c r="Z18" s="6">
        <f ca="1">('TUSD BE'!$AM$12+'TUSD BF'!$AM$12+'TUSD CVA'!$AM$12)*1</f>
        <v>101.0581345617458</v>
      </c>
      <c r="AA18" s="6">
        <f>('TE BE'!$AB$6+'TE BF'!$AB$6+'TE CVA'!$AB$6)*1</f>
        <v>122.58638016056723</v>
      </c>
      <c r="AB18" s="6">
        <f>$K$18*$V$18</f>
        <v>0</v>
      </c>
      <c r="AC18" s="6">
        <f>$M$18*$W$18</f>
        <v>189.13856000000001</v>
      </c>
      <c r="AD18" s="6">
        <f>$O$18*$X$18</f>
        <v>343.59407999999996</v>
      </c>
      <c r="AE18" s="6">
        <f>$K$18*$Y$18</f>
        <v>0</v>
      </c>
      <c r="AF18" s="6">
        <f ca="1">$M$18*$Z$18</f>
        <v>289.43049738483995</v>
      </c>
      <c r="AG18" s="6">
        <f>$O$18*$AA$18</f>
        <v>351.08739277986456</v>
      </c>
    </row>
    <row r="19" spans="1:33" ht="11.25" customHeight="1" x14ac:dyDescent="0.3">
      <c r="A19" s="4" t="s">
        <v>28</v>
      </c>
      <c r="B19" s="4" t="s">
        <v>35</v>
      </c>
      <c r="C19" s="4" t="s">
        <v>36</v>
      </c>
      <c r="D19" s="4" t="s">
        <v>34</v>
      </c>
      <c r="E19" s="4" t="s">
        <v>25</v>
      </c>
      <c r="F19" s="4" t="s">
        <v>25</v>
      </c>
      <c r="G19" s="4" t="s">
        <v>25</v>
      </c>
      <c r="H19" s="4" t="s">
        <v>38</v>
      </c>
      <c r="I19" s="5">
        <v>44652</v>
      </c>
      <c r="J19" s="6">
        <v>0</v>
      </c>
      <c r="K19" s="6">
        <v>0</v>
      </c>
      <c r="L19" s="6">
        <v>15.51</v>
      </c>
      <c r="M19" s="6">
        <v>15.51</v>
      </c>
      <c r="N19" s="6">
        <v>15.51</v>
      </c>
      <c r="O19" s="6">
        <v>15.51</v>
      </c>
      <c r="P19" s="6">
        <v>0</v>
      </c>
      <c r="Q19" s="4" t="s">
        <v>26</v>
      </c>
      <c r="R19" s="4">
        <v>0</v>
      </c>
      <c r="S19" s="6">
        <v>0</v>
      </c>
      <c r="T19" s="6">
        <v>10</v>
      </c>
      <c r="U19" s="6">
        <v>40</v>
      </c>
      <c r="V19" s="6">
        <f>IF(ISERROR(VLOOKUP($S$19,'TAR FIN'!$A$1:$O$85,15,0)),0,VLOOKUP($S$19,'TAR FIN'!$A$1:$O$85,15,0))</f>
        <v>0</v>
      </c>
      <c r="W19" s="6">
        <f>IF(ISERROR(VLOOKUP($T$19,'TAR FIN'!$A$1:$O$85,15,0)),0,VLOOKUP($T$19,'TAR FIN'!$A$1:$O$85,15,0))</f>
        <v>66.040000000000006</v>
      </c>
      <c r="X19" s="6">
        <f>IF(ISERROR(VLOOKUP($U$19,'TAR FIN'!$A$1:$O$85,15,0)),0,VLOOKUP($U$19,'TAR FIN'!$A$1:$O$85,15,0))</f>
        <v>119.97</v>
      </c>
      <c r="Y19" s="6"/>
      <c r="Z19" s="6">
        <f ca="1">('TUSD BE'!$AM$12+'TUSD BF'!$AM$12+'TUSD CVA'!$AM$12)*1</f>
        <v>101.0581345617458</v>
      </c>
      <c r="AA19" s="6">
        <f>('TE BE'!$AB$6+'TE BF'!$AB$6+'TE CVA'!$AB$6)*1</f>
        <v>122.58638016056723</v>
      </c>
      <c r="AB19" s="6">
        <f>$K$19*$V$19</f>
        <v>0</v>
      </c>
      <c r="AC19" s="6">
        <f>$M$19*$W$19</f>
        <v>1024.2804000000001</v>
      </c>
      <c r="AD19" s="6">
        <f>$O$19*$X$19</f>
        <v>1860.7347</v>
      </c>
      <c r="AE19" s="6">
        <f>$K$19*$Y$19</f>
        <v>0</v>
      </c>
      <c r="AF19" s="6">
        <f ca="1">$M$19*$Z$19</f>
        <v>1567.4116670526773</v>
      </c>
      <c r="AG19" s="6">
        <f>$O$19*$AA$19</f>
        <v>1901.3147562903978</v>
      </c>
    </row>
    <row r="20" spans="1:33" ht="11.25" customHeight="1" x14ac:dyDescent="0.3">
      <c r="A20" s="4" t="s">
        <v>21</v>
      </c>
      <c r="B20" s="4" t="s">
        <v>35</v>
      </c>
      <c r="C20" s="4" t="s">
        <v>36</v>
      </c>
      <c r="D20" s="4" t="s">
        <v>34</v>
      </c>
      <c r="E20" s="4" t="s">
        <v>25</v>
      </c>
      <c r="F20" s="4" t="s">
        <v>25</v>
      </c>
      <c r="G20" s="4" t="s">
        <v>25</v>
      </c>
      <c r="H20" s="4" t="s">
        <v>38</v>
      </c>
      <c r="I20" s="5">
        <v>44682</v>
      </c>
      <c r="J20" s="6">
        <v>0</v>
      </c>
      <c r="K20" s="6">
        <v>0</v>
      </c>
      <c r="L20" s="6">
        <v>2469.2080000000001</v>
      </c>
      <c r="M20" s="6">
        <v>2469.2080000000001</v>
      </c>
      <c r="N20" s="6">
        <v>2469.2080000000001</v>
      </c>
      <c r="O20" s="6">
        <v>2469.2080000000001</v>
      </c>
      <c r="P20" s="6">
        <v>0</v>
      </c>
      <c r="Q20" s="4" t="s">
        <v>26</v>
      </c>
      <c r="R20" s="4">
        <v>0</v>
      </c>
      <c r="S20" s="6">
        <v>0</v>
      </c>
      <c r="T20" s="6">
        <v>10</v>
      </c>
      <c r="U20" s="6">
        <v>40</v>
      </c>
      <c r="V20" s="6">
        <f>IF(ISERROR(VLOOKUP($S$20,'TAR FIN'!$A$1:$O$85,15,0)),0,VLOOKUP($S$20,'TAR FIN'!$A$1:$O$85,15,0))</f>
        <v>0</v>
      </c>
      <c r="W20" s="6">
        <f>IF(ISERROR(VLOOKUP($T$20,'TAR FIN'!$A$1:$O$85,15,0)),0,VLOOKUP($T$20,'TAR FIN'!$A$1:$O$85,15,0))</f>
        <v>66.040000000000006</v>
      </c>
      <c r="X20" s="6">
        <f>IF(ISERROR(VLOOKUP($U$20,'TAR FIN'!$A$1:$O$85,15,0)),0,VLOOKUP($U$20,'TAR FIN'!$A$1:$O$85,15,0))</f>
        <v>119.97</v>
      </c>
      <c r="Y20" s="6"/>
      <c r="Z20" s="6">
        <f ca="1">('TUSD BE'!$AM$12+'TUSD BF'!$AM$12+'TUSD CVA'!$AM$12)*1</f>
        <v>101.0581345617458</v>
      </c>
      <c r="AA20" s="6">
        <f>('TE BE'!$AB$6+'TE BF'!$AB$6+'TE CVA'!$AB$6)*1</f>
        <v>122.58638016056723</v>
      </c>
      <c r="AB20" s="6">
        <f>$K$20*$V$20</f>
        <v>0</v>
      </c>
      <c r="AC20" s="6">
        <f>$M$20*$W$20</f>
        <v>163066.49632000003</v>
      </c>
      <c r="AD20" s="6">
        <f>$O$20*$X$20</f>
        <v>296230.88376</v>
      </c>
      <c r="AE20" s="6">
        <f>$K$20*$Y$20</f>
        <v>0</v>
      </c>
      <c r="AF20" s="6">
        <f ca="1">$M$20*$Z$20</f>
        <v>249533.55432493924</v>
      </c>
      <c r="AG20" s="6">
        <f>$O$20*$AA$20</f>
        <v>302691.27058351389</v>
      </c>
    </row>
    <row r="21" spans="1:33" ht="11.25" customHeight="1" x14ac:dyDescent="0.3">
      <c r="A21" s="4" t="s">
        <v>28</v>
      </c>
      <c r="B21" s="4" t="s">
        <v>35</v>
      </c>
      <c r="C21" s="4" t="s">
        <v>36</v>
      </c>
      <c r="D21" s="4" t="s">
        <v>34</v>
      </c>
      <c r="E21" s="4" t="s">
        <v>25</v>
      </c>
      <c r="F21" s="4" t="s">
        <v>25</v>
      </c>
      <c r="G21" s="4" t="s">
        <v>25</v>
      </c>
      <c r="H21" s="4" t="s">
        <v>38</v>
      </c>
      <c r="I21" s="5">
        <v>44682</v>
      </c>
      <c r="J21" s="6">
        <v>0</v>
      </c>
      <c r="K21" s="6">
        <v>0</v>
      </c>
      <c r="L21" s="6">
        <v>17.451000000000001</v>
      </c>
      <c r="M21" s="6">
        <v>17.451000000000001</v>
      </c>
      <c r="N21" s="6">
        <v>17.451000000000001</v>
      </c>
      <c r="O21" s="6">
        <v>17.451000000000001</v>
      </c>
      <c r="P21" s="6">
        <v>0</v>
      </c>
      <c r="Q21" s="4" t="s">
        <v>26</v>
      </c>
      <c r="R21" s="4">
        <v>0</v>
      </c>
      <c r="S21" s="6">
        <v>0</v>
      </c>
      <c r="T21" s="6">
        <v>10</v>
      </c>
      <c r="U21" s="6">
        <v>40</v>
      </c>
      <c r="V21" s="6">
        <f>IF(ISERROR(VLOOKUP($S$21,'TAR FIN'!$A$1:$O$85,15,0)),0,VLOOKUP($S$21,'TAR FIN'!$A$1:$O$85,15,0))</f>
        <v>0</v>
      </c>
      <c r="W21" s="6">
        <f>IF(ISERROR(VLOOKUP($T$21,'TAR FIN'!$A$1:$O$85,15,0)),0,VLOOKUP($T$21,'TAR FIN'!$A$1:$O$85,15,0))</f>
        <v>66.040000000000006</v>
      </c>
      <c r="X21" s="6">
        <f>IF(ISERROR(VLOOKUP($U$21,'TAR FIN'!$A$1:$O$85,15,0)),0,VLOOKUP($U$21,'TAR FIN'!$A$1:$O$85,15,0))</f>
        <v>119.97</v>
      </c>
      <c r="Y21" s="6"/>
      <c r="Z21" s="6">
        <f ca="1">('TUSD BE'!$AM$12+'TUSD BF'!$AM$12+'TUSD CVA'!$AM$12)*1</f>
        <v>101.0581345617458</v>
      </c>
      <c r="AA21" s="6">
        <f>('TE BE'!$AB$6+'TE BF'!$AB$6+'TE CVA'!$AB$6)*1</f>
        <v>122.58638016056723</v>
      </c>
      <c r="AB21" s="6">
        <f>$K$21*$V$21</f>
        <v>0</v>
      </c>
      <c r="AC21" s="6">
        <f>$M$21*$W$21</f>
        <v>1152.4640400000001</v>
      </c>
      <c r="AD21" s="6">
        <f>$O$21*$X$21</f>
        <v>2093.59647</v>
      </c>
      <c r="AE21" s="6">
        <f>$K$21*$Y$21</f>
        <v>0</v>
      </c>
      <c r="AF21" s="6">
        <f ca="1">$M$21*$Z$21</f>
        <v>1763.5655062370261</v>
      </c>
      <c r="AG21" s="6">
        <f>$O$21*$AA$21</f>
        <v>2139.2549201820589</v>
      </c>
    </row>
    <row r="22" spans="1:33" ht="11.25" customHeight="1" x14ac:dyDescent="0.3">
      <c r="A22" s="4" t="s">
        <v>21</v>
      </c>
      <c r="B22" s="4" t="s">
        <v>35</v>
      </c>
      <c r="C22" s="4" t="s">
        <v>36</v>
      </c>
      <c r="D22" s="4" t="s">
        <v>34</v>
      </c>
      <c r="E22" s="4" t="s">
        <v>25</v>
      </c>
      <c r="F22" s="4" t="s">
        <v>25</v>
      </c>
      <c r="G22" s="4" t="s">
        <v>25</v>
      </c>
      <c r="H22" s="4" t="s">
        <v>38</v>
      </c>
      <c r="I22" s="5">
        <v>44713</v>
      </c>
      <c r="J22" s="6">
        <v>0</v>
      </c>
      <c r="K22" s="6">
        <v>0</v>
      </c>
      <c r="L22" s="6">
        <v>2419.5059999999999</v>
      </c>
      <c r="M22" s="6">
        <v>2419.5059999999999</v>
      </c>
      <c r="N22" s="6">
        <v>2419.5059999999999</v>
      </c>
      <c r="O22" s="6">
        <v>2419.5059999999999</v>
      </c>
      <c r="P22" s="6">
        <v>0</v>
      </c>
      <c r="Q22" s="4" t="s">
        <v>26</v>
      </c>
      <c r="R22" s="4">
        <v>0</v>
      </c>
      <c r="S22" s="6">
        <v>0</v>
      </c>
      <c r="T22" s="6">
        <v>10</v>
      </c>
      <c r="U22" s="6">
        <v>40</v>
      </c>
      <c r="V22" s="6">
        <f>IF(ISERROR(VLOOKUP($S$22,'TAR FIN'!$A$1:$O$85,15,0)),0,VLOOKUP($S$22,'TAR FIN'!$A$1:$O$85,15,0))</f>
        <v>0</v>
      </c>
      <c r="W22" s="6">
        <f>IF(ISERROR(VLOOKUP($T$22,'TAR FIN'!$A$1:$O$85,15,0)),0,VLOOKUP($T$22,'TAR FIN'!$A$1:$O$85,15,0))</f>
        <v>66.040000000000006</v>
      </c>
      <c r="X22" s="6">
        <f>IF(ISERROR(VLOOKUP($U$22,'TAR FIN'!$A$1:$O$85,15,0)),0,VLOOKUP($U$22,'TAR FIN'!$A$1:$O$85,15,0))</f>
        <v>119.97</v>
      </c>
      <c r="Y22" s="6"/>
      <c r="Z22" s="6">
        <f ca="1">('TUSD BE'!$AM$12+'TUSD BF'!$AM$12+'TUSD CVA'!$AM$12)*1</f>
        <v>101.0581345617458</v>
      </c>
      <c r="AA22" s="6">
        <f>('TE BE'!$AB$6+'TE BF'!$AB$6+'TE CVA'!$AB$6)*1</f>
        <v>122.58638016056723</v>
      </c>
      <c r="AB22" s="6">
        <f>$K$22*$V$22</f>
        <v>0</v>
      </c>
      <c r="AC22" s="6">
        <f>$M$22*$W$22</f>
        <v>159784.17624</v>
      </c>
      <c r="AD22" s="6">
        <f>$O$22*$X$22</f>
        <v>290268.13481999998</v>
      </c>
      <c r="AE22" s="6">
        <f>$K$22*$Y$22</f>
        <v>0</v>
      </c>
      <c r="AF22" s="6">
        <f ca="1">$M$22*$Z$22</f>
        <v>244510.76292095133</v>
      </c>
      <c r="AG22" s="6">
        <f>$O$22*$AA$22</f>
        <v>296598.48231677338</v>
      </c>
    </row>
    <row r="23" spans="1:33" ht="11.25" customHeight="1" x14ac:dyDescent="0.3">
      <c r="A23" s="4" t="s">
        <v>28</v>
      </c>
      <c r="B23" s="4" t="s">
        <v>35</v>
      </c>
      <c r="C23" s="4" t="s">
        <v>36</v>
      </c>
      <c r="D23" s="4" t="s">
        <v>34</v>
      </c>
      <c r="E23" s="4" t="s">
        <v>25</v>
      </c>
      <c r="F23" s="4" t="s">
        <v>25</v>
      </c>
      <c r="G23" s="4" t="s">
        <v>25</v>
      </c>
      <c r="H23" s="4" t="s">
        <v>38</v>
      </c>
      <c r="I23" s="5">
        <v>44713</v>
      </c>
      <c r="J23" s="6">
        <v>0</v>
      </c>
      <c r="K23" s="6">
        <v>0</v>
      </c>
      <c r="L23" s="6">
        <v>18.134</v>
      </c>
      <c r="M23" s="6">
        <v>18.134</v>
      </c>
      <c r="N23" s="6">
        <v>18.134</v>
      </c>
      <c r="O23" s="6">
        <v>18.134</v>
      </c>
      <c r="P23" s="6">
        <v>0</v>
      </c>
      <c r="Q23" s="4" t="s">
        <v>26</v>
      </c>
      <c r="R23" s="4">
        <v>0</v>
      </c>
      <c r="S23" s="6">
        <v>0</v>
      </c>
      <c r="T23" s="6">
        <v>10</v>
      </c>
      <c r="U23" s="6">
        <v>40</v>
      </c>
      <c r="V23" s="6">
        <f>IF(ISERROR(VLOOKUP($S$23,'TAR FIN'!$A$1:$O$85,15,0)),0,VLOOKUP($S$23,'TAR FIN'!$A$1:$O$85,15,0))</f>
        <v>0</v>
      </c>
      <c r="W23" s="6">
        <f>IF(ISERROR(VLOOKUP($T$23,'TAR FIN'!$A$1:$O$85,15,0)),0,VLOOKUP($T$23,'TAR FIN'!$A$1:$O$85,15,0))</f>
        <v>66.040000000000006</v>
      </c>
      <c r="X23" s="6">
        <f>IF(ISERROR(VLOOKUP($U$23,'TAR FIN'!$A$1:$O$85,15,0)),0,VLOOKUP($U$23,'TAR FIN'!$A$1:$O$85,15,0))</f>
        <v>119.97</v>
      </c>
      <c r="Y23" s="6"/>
      <c r="Z23" s="6">
        <f ca="1">('TUSD BE'!$AM$12+'TUSD BF'!$AM$12+'TUSD CVA'!$AM$12)*1</f>
        <v>101.0581345617458</v>
      </c>
      <c r="AA23" s="6">
        <f>('TE BE'!$AB$6+'TE BF'!$AB$6+'TE CVA'!$AB$6)*1</f>
        <v>122.58638016056723</v>
      </c>
      <c r="AB23" s="6">
        <f>$K$23*$V$23</f>
        <v>0</v>
      </c>
      <c r="AC23" s="6">
        <f>$M$23*$W$23</f>
        <v>1197.5693600000002</v>
      </c>
      <c r="AD23" s="6">
        <f>$O$23*$X$23</f>
        <v>2175.5359800000001</v>
      </c>
      <c r="AE23" s="6">
        <f>$K$23*$Y$23</f>
        <v>0</v>
      </c>
      <c r="AF23" s="6">
        <f ca="1">$M$23*$Z$23</f>
        <v>1832.5882121426985</v>
      </c>
      <c r="AG23" s="6">
        <f>$O$23*$AA$23</f>
        <v>2222.981417831726</v>
      </c>
    </row>
    <row r="24" spans="1:33" ht="11.25" customHeight="1" x14ac:dyDescent="0.3">
      <c r="A24" s="4" t="s">
        <v>21</v>
      </c>
      <c r="B24" s="4" t="s">
        <v>35</v>
      </c>
      <c r="C24" s="4" t="s">
        <v>36</v>
      </c>
      <c r="D24" s="4" t="s">
        <v>34</v>
      </c>
      <c r="E24" s="4" t="s">
        <v>25</v>
      </c>
      <c r="F24" s="4" t="s">
        <v>25</v>
      </c>
      <c r="G24" s="4" t="s">
        <v>25</v>
      </c>
      <c r="H24" s="4" t="s">
        <v>38</v>
      </c>
      <c r="I24" s="5">
        <v>44743</v>
      </c>
      <c r="J24" s="6">
        <v>0</v>
      </c>
      <c r="K24" s="6">
        <v>0</v>
      </c>
      <c r="L24" s="6">
        <v>2235.3539999999998</v>
      </c>
      <c r="M24" s="6">
        <v>2235.3539999999998</v>
      </c>
      <c r="N24" s="6">
        <v>2235.3539999999998</v>
      </c>
      <c r="O24" s="6">
        <v>2235.3539999999998</v>
      </c>
      <c r="P24" s="6">
        <v>0</v>
      </c>
      <c r="Q24" s="4" t="s">
        <v>26</v>
      </c>
      <c r="R24" s="4">
        <v>0</v>
      </c>
      <c r="S24" s="6">
        <v>0</v>
      </c>
      <c r="T24" s="6">
        <v>10</v>
      </c>
      <c r="U24" s="6">
        <v>40</v>
      </c>
      <c r="V24" s="6">
        <f>IF(ISERROR(VLOOKUP($S$24,'TAR FIN'!$A$1:$O$85,15,0)),0,VLOOKUP($S$24,'TAR FIN'!$A$1:$O$85,15,0))</f>
        <v>0</v>
      </c>
      <c r="W24" s="6">
        <f>IF(ISERROR(VLOOKUP($T$24,'TAR FIN'!$A$1:$O$85,15,0)),0,VLOOKUP($T$24,'TAR FIN'!$A$1:$O$85,15,0))</f>
        <v>66.040000000000006</v>
      </c>
      <c r="X24" s="6">
        <f>IF(ISERROR(VLOOKUP($U$24,'TAR FIN'!$A$1:$O$85,15,0)),0,VLOOKUP($U$24,'TAR FIN'!$A$1:$O$85,15,0))</f>
        <v>119.97</v>
      </c>
      <c r="Y24" s="6"/>
      <c r="Z24" s="6">
        <f ca="1">('TUSD BE'!$AM$12+'TUSD BF'!$AM$12+'TUSD CVA'!$AM$12)*1</f>
        <v>101.0581345617458</v>
      </c>
      <c r="AA24" s="6">
        <f>('TE BE'!$AB$6+'TE BF'!$AB$6+'TE CVA'!$AB$6)*1</f>
        <v>122.58638016056723</v>
      </c>
      <c r="AB24" s="6">
        <f>$K$24*$V$24</f>
        <v>0</v>
      </c>
      <c r="AC24" s="6">
        <f>$M$24*$W$24</f>
        <v>147622.77816000002</v>
      </c>
      <c r="AD24" s="6">
        <f>$O$24*$X$24</f>
        <v>268175.41937999998</v>
      </c>
      <c r="AE24" s="6">
        <f>$K$24*$Y$24</f>
        <v>0</v>
      </c>
      <c r="AF24" s="6">
        <f ca="1">$M$24*$Z$24</f>
        <v>225900.70532513672</v>
      </c>
      <c r="AG24" s="6">
        <f>$O$24*$AA$24</f>
        <v>274023.95523744461</v>
      </c>
    </row>
    <row r="25" spans="1:33" ht="11.25" customHeight="1" x14ac:dyDescent="0.3">
      <c r="A25" s="4" t="s">
        <v>28</v>
      </c>
      <c r="B25" s="4" t="s">
        <v>35</v>
      </c>
      <c r="C25" s="4" t="s">
        <v>36</v>
      </c>
      <c r="D25" s="4" t="s">
        <v>34</v>
      </c>
      <c r="E25" s="4" t="s">
        <v>25</v>
      </c>
      <c r="F25" s="4" t="s">
        <v>25</v>
      </c>
      <c r="G25" s="4" t="s">
        <v>25</v>
      </c>
      <c r="H25" s="4" t="s">
        <v>38</v>
      </c>
      <c r="I25" s="5">
        <v>44743</v>
      </c>
      <c r="J25" s="6">
        <v>0</v>
      </c>
      <c r="K25" s="6">
        <v>0</v>
      </c>
      <c r="L25" s="6">
        <v>15.888999999999999</v>
      </c>
      <c r="M25" s="6">
        <v>15.888999999999999</v>
      </c>
      <c r="N25" s="6">
        <v>15.888999999999999</v>
      </c>
      <c r="O25" s="6">
        <v>15.888999999999999</v>
      </c>
      <c r="P25" s="6">
        <v>0</v>
      </c>
      <c r="Q25" s="4" t="s">
        <v>26</v>
      </c>
      <c r="R25" s="4">
        <v>0</v>
      </c>
      <c r="S25" s="6">
        <v>0</v>
      </c>
      <c r="T25" s="6">
        <v>10</v>
      </c>
      <c r="U25" s="6">
        <v>40</v>
      </c>
      <c r="V25" s="6">
        <f>IF(ISERROR(VLOOKUP($S$25,'TAR FIN'!$A$1:$O$85,15,0)),0,VLOOKUP($S$25,'TAR FIN'!$A$1:$O$85,15,0))</f>
        <v>0</v>
      </c>
      <c r="W25" s="6">
        <f>IF(ISERROR(VLOOKUP($T$25,'TAR FIN'!$A$1:$O$85,15,0)),0,VLOOKUP($T$25,'TAR FIN'!$A$1:$O$85,15,0))</f>
        <v>66.040000000000006</v>
      </c>
      <c r="X25" s="6">
        <f>IF(ISERROR(VLOOKUP($U$25,'TAR FIN'!$A$1:$O$85,15,0)),0,VLOOKUP($U$25,'TAR FIN'!$A$1:$O$85,15,0))</f>
        <v>119.97</v>
      </c>
      <c r="Y25" s="6"/>
      <c r="Z25" s="6">
        <f ca="1">('TUSD BE'!$AM$12+'TUSD BF'!$AM$12+'TUSD CVA'!$AM$12)*1</f>
        <v>101.0581345617458</v>
      </c>
      <c r="AA25" s="6">
        <f>('TE BE'!$AB$6+'TE BF'!$AB$6+'TE CVA'!$AB$6)*1</f>
        <v>122.58638016056723</v>
      </c>
      <c r="AB25" s="6">
        <f>$K$25*$V$25</f>
        <v>0</v>
      </c>
      <c r="AC25" s="6">
        <f>$M$25*$W$25</f>
        <v>1049.3095600000001</v>
      </c>
      <c r="AD25" s="6">
        <f>$O$25*$X$25</f>
        <v>1906.2033299999998</v>
      </c>
      <c r="AE25" s="6">
        <f>$K$25*$Y$25</f>
        <v>0</v>
      </c>
      <c r="AF25" s="6">
        <f ca="1">$M$25*$Z$25</f>
        <v>1605.7127000515791</v>
      </c>
      <c r="AG25" s="6">
        <f>$O$25*$AA$25</f>
        <v>1947.7749943712527</v>
      </c>
    </row>
    <row r="26" spans="1:33" ht="11.25" customHeight="1" x14ac:dyDescent="0.3">
      <c r="A26" s="4" t="s">
        <v>52</v>
      </c>
      <c r="B26" s="4" t="s">
        <v>35</v>
      </c>
      <c r="C26" s="4" t="s">
        <v>36</v>
      </c>
      <c r="D26" s="4" t="s">
        <v>34</v>
      </c>
      <c r="E26" s="4" t="s">
        <v>25</v>
      </c>
      <c r="F26" s="4" t="s">
        <v>25</v>
      </c>
      <c r="G26" s="4" t="s">
        <v>25</v>
      </c>
      <c r="H26" s="4" t="s">
        <v>38</v>
      </c>
      <c r="I26" s="5">
        <v>44774</v>
      </c>
      <c r="J26" s="6">
        <v>0</v>
      </c>
      <c r="K26" s="6">
        <v>0</v>
      </c>
      <c r="L26" s="6">
        <v>2235.3539999999998</v>
      </c>
      <c r="M26" s="6">
        <v>2235.3539999999998</v>
      </c>
      <c r="N26" s="6">
        <v>2235.3539999999998</v>
      </c>
      <c r="O26" s="6">
        <v>2235.3539999999998</v>
      </c>
      <c r="P26" s="6">
        <v>0</v>
      </c>
      <c r="Q26" s="4" t="s">
        <v>26</v>
      </c>
      <c r="R26" s="4">
        <v>0</v>
      </c>
      <c r="S26" s="6">
        <v>0</v>
      </c>
      <c r="T26" s="6">
        <v>10</v>
      </c>
      <c r="U26" s="6">
        <v>40</v>
      </c>
      <c r="V26" s="6">
        <f>IF(ISERROR(VLOOKUP($S$26,'TAR FIN'!$A$1:$O$85,15,0)),0,VLOOKUP($S$26,'TAR FIN'!$A$1:$O$85,15,0))</f>
        <v>0</v>
      </c>
      <c r="W26" s="6">
        <f>IF(ISERROR(VLOOKUP($T$26,'TAR FIN'!$A$1:$O$85,15,0)),0,VLOOKUP($T$26,'TAR FIN'!$A$1:$O$85,15,0))</f>
        <v>66.040000000000006</v>
      </c>
      <c r="X26" s="6">
        <f>IF(ISERROR(VLOOKUP($U$26,'TAR FIN'!$A$1:$O$85,15,0)),0,VLOOKUP($U$26,'TAR FIN'!$A$1:$O$85,15,0))</f>
        <v>119.97</v>
      </c>
      <c r="Y26" s="6"/>
      <c r="Z26" s="6">
        <f ca="1">('TUSD BE'!$AM$12+'TUSD BF'!$AM$12+'TUSD CVA'!$AM$12)*1</f>
        <v>101.0581345617458</v>
      </c>
      <c r="AA26" s="6">
        <f>('TE BE'!$AB$6+'TE BF'!$AB$6+'TE CVA'!$AB$6)*1</f>
        <v>122.58638016056723</v>
      </c>
      <c r="AB26" s="6">
        <f>$K$26*$V$26</f>
        <v>0</v>
      </c>
      <c r="AC26" s="6">
        <f>$M$26*$W$26</f>
        <v>147622.77816000002</v>
      </c>
      <c r="AD26" s="6">
        <f>$O$26*$X$26</f>
        <v>268175.41937999998</v>
      </c>
      <c r="AE26" s="6">
        <f>$K$26*$Y$26</f>
        <v>0</v>
      </c>
      <c r="AF26" s="6">
        <f ca="1">$M$26*$Z$26</f>
        <v>225900.70532513672</v>
      </c>
      <c r="AG26" s="6">
        <f>$O$26*$AA$26</f>
        <v>274023.95523744461</v>
      </c>
    </row>
    <row r="27" spans="1:33" ht="11.25" customHeight="1" x14ac:dyDescent="0.3">
      <c r="A27" s="4" t="s">
        <v>52</v>
      </c>
      <c r="B27" s="4" t="s">
        <v>35</v>
      </c>
      <c r="C27" s="4" t="s">
        <v>36</v>
      </c>
      <c r="D27" s="4" t="s">
        <v>34</v>
      </c>
      <c r="E27" s="4" t="s">
        <v>25</v>
      </c>
      <c r="F27" s="4" t="s">
        <v>25</v>
      </c>
      <c r="G27" s="4" t="s">
        <v>25</v>
      </c>
      <c r="H27" s="4" t="s">
        <v>38</v>
      </c>
      <c r="I27" s="5">
        <v>44774</v>
      </c>
      <c r="J27" s="6">
        <v>0</v>
      </c>
      <c r="K27" s="6">
        <v>0</v>
      </c>
      <c r="L27" s="6">
        <v>15.888999999999999</v>
      </c>
      <c r="M27" s="6">
        <v>15.888999999999999</v>
      </c>
      <c r="N27" s="6">
        <v>15.888999999999999</v>
      </c>
      <c r="O27" s="6">
        <v>15.888999999999999</v>
      </c>
      <c r="P27" s="6">
        <v>0</v>
      </c>
      <c r="Q27" s="4" t="s">
        <v>26</v>
      </c>
      <c r="R27" s="4">
        <v>0</v>
      </c>
      <c r="S27" s="6">
        <v>0</v>
      </c>
      <c r="T27" s="6">
        <v>10</v>
      </c>
      <c r="U27" s="6">
        <v>40</v>
      </c>
      <c r="V27" s="6">
        <f>IF(ISERROR(VLOOKUP($S$27,'TAR FIN'!$A$1:$O$85,15,0)),0,VLOOKUP($S$27,'TAR FIN'!$A$1:$O$85,15,0))</f>
        <v>0</v>
      </c>
      <c r="W27" s="6">
        <f>IF(ISERROR(VLOOKUP($T$27,'TAR FIN'!$A$1:$O$85,15,0)),0,VLOOKUP($T$27,'TAR FIN'!$A$1:$O$85,15,0))</f>
        <v>66.040000000000006</v>
      </c>
      <c r="X27" s="6">
        <f>IF(ISERROR(VLOOKUP($U$27,'TAR FIN'!$A$1:$O$85,15,0)),0,VLOOKUP($U$27,'TAR FIN'!$A$1:$O$85,15,0))</f>
        <v>119.97</v>
      </c>
      <c r="Y27" s="6"/>
      <c r="Z27" s="6">
        <f ca="1">('TUSD BE'!$AM$12+'TUSD BF'!$AM$12+'TUSD CVA'!$AM$12)*1</f>
        <v>101.0581345617458</v>
      </c>
      <c r="AA27" s="6">
        <f>('TE BE'!$AB$6+'TE BF'!$AB$6+'TE CVA'!$AB$6)*1</f>
        <v>122.58638016056723</v>
      </c>
      <c r="AB27" s="6">
        <f>$K$27*$V$27</f>
        <v>0</v>
      </c>
      <c r="AC27" s="6">
        <f>$M$27*$W$27</f>
        <v>1049.3095600000001</v>
      </c>
      <c r="AD27" s="6">
        <f>$O$27*$X$27</f>
        <v>1906.2033299999998</v>
      </c>
      <c r="AE27" s="6">
        <f>$K$27*$Y$27</f>
        <v>0</v>
      </c>
      <c r="AF27" s="6">
        <f ca="1">$M$27*$Z$27</f>
        <v>1605.7127000515791</v>
      </c>
      <c r="AG27" s="6">
        <f>$O$27*$AA$27</f>
        <v>1947.7749943712527</v>
      </c>
    </row>
    <row r="28" spans="1:33" ht="11.25" customHeight="1" x14ac:dyDescent="0.3">
      <c r="A28" s="4" t="s">
        <v>21</v>
      </c>
      <c r="B28" s="4" t="s">
        <v>35</v>
      </c>
      <c r="C28" s="4" t="s">
        <v>36</v>
      </c>
      <c r="D28" s="4" t="s">
        <v>34</v>
      </c>
      <c r="E28" s="4" t="s">
        <v>25</v>
      </c>
      <c r="F28" s="4" t="s">
        <v>25</v>
      </c>
      <c r="G28" s="4" t="s">
        <v>25</v>
      </c>
      <c r="H28" s="4" t="s">
        <v>25</v>
      </c>
      <c r="I28" s="5">
        <v>44440</v>
      </c>
      <c r="J28" s="6">
        <v>10772</v>
      </c>
      <c r="K28" s="6">
        <v>10772</v>
      </c>
      <c r="L28" s="6">
        <v>0</v>
      </c>
      <c r="M28" s="6">
        <v>0</v>
      </c>
      <c r="N28" s="6">
        <v>0</v>
      </c>
      <c r="O28" s="6">
        <v>0</v>
      </c>
      <c r="P28" s="6">
        <v>26</v>
      </c>
      <c r="Q28" s="4" t="s">
        <v>26</v>
      </c>
      <c r="R28" s="4">
        <v>0</v>
      </c>
      <c r="S28" s="6">
        <v>27</v>
      </c>
      <c r="T28" s="6">
        <v>0</v>
      </c>
      <c r="U28" s="6">
        <v>0</v>
      </c>
      <c r="V28" s="6">
        <f>IF(ISERROR(VLOOKUP($S$28,'TAR FIN'!$A$1:$O$85,15,0)),0,VLOOKUP($S$28,'TAR FIN'!$A$1:$O$85,15,0))</f>
        <v>41.15</v>
      </c>
      <c r="W28" s="6">
        <f>IF(ISERROR(VLOOKUP($T$28,'TAR FIN'!$A$1:$O$85,15,0)),0,VLOOKUP($T$28,'TAR FIN'!$A$1:$O$85,15,0))</f>
        <v>0</v>
      </c>
      <c r="X28" s="6">
        <f>IF(ISERROR(VLOOKUP($U$28,'TAR FIN'!$A$1:$O$85,15,0)),0,VLOOKUP($U$28,'TAR FIN'!$A$1:$O$85,15,0))</f>
        <v>0</v>
      </c>
      <c r="Y28" s="6">
        <f ca="1">('TUSD BE'!$AM$10+'TUSD BF'!$AM$10+'TUSD CVA'!$AM$10)*1</f>
        <v>41.446726729867045</v>
      </c>
      <c r="Z28" s="6"/>
      <c r="AA28" s="6"/>
      <c r="AB28" s="6">
        <f>$K$28*$V$28</f>
        <v>443267.8</v>
      </c>
      <c r="AC28" s="6">
        <f>$M$28*$W$28</f>
        <v>0</v>
      </c>
      <c r="AD28" s="6">
        <f>$O$28*$X$28</f>
        <v>0</v>
      </c>
      <c r="AE28" s="6">
        <f ca="1">$K$28*$Y$28</f>
        <v>446464.14033412782</v>
      </c>
      <c r="AF28" s="6">
        <f>$M$28*$Z$28</f>
        <v>0</v>
      </c>
      <c r="AG28" s="6">
        <f>$O$28*$AA$28</f>
        <v>0</v>
      </c>
    </row>
    <row r="29" spans="1:33" ht="11.25" customHeight="1" x14ac:dyDescent="0.3">
      <c r="A29" s="4" t="s">
        <v>21</v>
      </c>
      <c r="B29" s="4" t="s">
        <v>35</v>
      </c>
      <c r="C29" s="4" t="s">
        <v>36</v>
      </c>
      <c r="D29" s="4" t="s">
        <v>34</v>
      </c>
      <c r="E29" s="4" t="s">
        <v>25</v>
      </c>
      <c r="F29" s="4" t="s">
        <v>25</v>
      </c>
      <c r="G29" s="4" t="s">
        <v>25</v>
      </c>
      <c r="H29" s="4" t="s">
        <v>25</v>
      </c>
      <c r="I29" s="5">
        <v>44470</v>
      </c>
      <c r="J29" s="6">
        <v>10867</v>
      </c>
      <c r="K29" s="6">
        <v>10867</v>
      </c>
      <c r="L29" s="6">
        <v>0</v>
      </c>
      <c r="M29" s="6">
        <v>0</v>
      </c>
      <c r="N29" s="6">
        <v>0</v>
      </c>
      <c r="O29" s="6">
        <v>0</v>
      </c>
      <c r="P29" s="6">
        <v>26</v>
      </c>
      <c r="Q29" s="4" t="s">
        <v>26</v>
      </c>
      <c r="R29" s="4">
        <v>0</v>
      </c>
      <c r="S29" s="6">
        <v>27</v>
      </c>
      <c r="T29" s="6">
        <v>0</v>
      </c>
      <c r="U29" s="6">
        <v>0</v>
      </c>
      <c r="V29" s="6">
        <f>IF(ISERROR(VLOOKUP($S$29,'TAR FIN'!$A$1:$O$85,15,0)),0,VLOOKUP($S$29,'TAR FIN'!$A$1:$O$85,15,0))</f>
        <v>41.15</v>
      </c>
      <c r="W29" s="6">
        <f>IF(ISERROR(VLOOKUP($T$29,'TAR FIN'!$A$1:$O$85,15,0)),0,VLOOKUP($T$29,'TAR FIN'!$A$1:$O$85,15,0))</f>
        <v>0</v>
      </c>
      <c r="X29" s="6">
        <f>IF(ISERROR(VLOOKUP($U$29,'TAR FIN'!$A$1:$O$85,15,0)),0,VLOOKUP($U$29,'TAR FIN'!$A$1:$O$85,15,0))</f>
        <v>0</v>
      </c>
      <c r="Y29" s="6">
        <f ca="1">('TUSD BE'!$AM$10+'TUSD BF'!$AM$10+'TUSD CVA'!$AM$10)*1</f>
        <v>41.446726729867045</v>
      </c>
      <c r="Z29" s="6"/>
      <c r="AA29" s="6"/>
      <c r="AB29" s="6">
        <f>$K$29*$V$29</f>
        <v>447177.05</v>
      </c>
      <c r="AC29" s="6">
        <f>$M$29*$W$29</f>
        <v>0</v>
      </c>
      <c r="AD29" s="6">
        <f>$O$29*$X$29</f>
        <v>0</v>
      </c>
      <c r="AE29" s="6">
        <f ca="1">$K$29*$Y$29</f>
        <v>450401.57937346515</v>
      </c>
      <c r="AF29" s="6">
        <f>$M$29*$Z$29</f>
        <v>0</v>
      </c>
      <c r="AG29" s="6">
        <f>$O$29*$AA$29</f>
        <v>0</v>
      </c>
    </row>
    <row r="30" spans="1:33" ht="11.25" customHeight="1" x14ac:dyDescent="0.3">
      <c r="A30" s="4" t="s">
        <v>21</v>
      </c>
      <c r="B30" s="4" t="s">
        <v>35</v>
      </c>
      <c r="C30" s="4" t="s">
        <v>36</v>
      </c>
      <c r="D30" s="4" t="s">
        <v>34</v>
      </c>
      <c r="E30" s="4" t="s">
        <v>25</v>
      </c>
      <c r="F30" s="4" t="s">
        <v>25</v>
      </c>
      <c r="G30" s="4" t="s">
        <v>25</v>
      </c>
      <c r="H30" s="4" t="s">
        <v>25</v>
      </c>
      <c r="I30" s="5">
        <v>44501</v>
      </c>
      <c r="J30" s="6">
        <v>10919</v>
      </c>
      <c r="K30" s="6">
        <v>10919</v>
      </c>
      <c r="L30" s="6">
        <v>0</v>
      </c>
      <c r="M30" s="6">
        <v>0</v>
      </c>
      <c r="N30" s="6">
        <v>0</v>
      </c>
      <c r="O30" s="6">
        <v>0</v>
      </c>
      <c r="P30" s="6">
        <v>26</v>
      </c>
      <c r="Q30" s="4" t="s">
        <v>26</v>
      </c>
      <c r="R30" s="4">
        <v>0</v>
      </c>
      <c r="S30" s="6">
        <v>27</v>
      </c>
      <c r="T30" s="6">
        <v>0</v>
      </c>
      <c r="U30" s="6">
        <v>0</v>
      </c>
      <c r="V30" s="6">
        <f>IF(ISERROR(VLOOKUP($S$30,'TAR FIN'!$A$1:$O$85,15,0)),0,VLOOKUP($S$30,'TAR FIN'!$A$1:$O$85,15,0))</f>
        <v>41.15</v>
      </c>
      <c r="W30" s="6">
        <f>IF(ISERROR(VLOOKUP($T$30,'TAR FIN'!$A$1:$O$85,15,0)),0,VLOOKUP($T$30,'TAR FIN'!$A$1:$O$85,15,0))</f>
        <v>0</v>
      </c>
      <c r="X30" s="6">
        <f>IF(ISERROR(VLOOKUP($U$30,'TAR FIN'!$A$1:$O$85,15,0)),0,VLOOKUP($U$30,'TAR FIN'!$A$1:$O$85,15,0))</f>
        <v>0</v>
      </c>
      <c r="Y30" s="6">
        <f ca="1">('TUSD BE'!$AM$10+'TUSD BF'!$AM$10+'TUSD CVA'!$AM$10)*1</f>
        <v>41.446726729867045</v>
      </c>
      <c r="Z30" s="6"/>
      <c r="AA30" s="6"/>
      <c r="AB30" s="6">
        <f>$K$30*$V$30</f>
        <v>449316.85</v>
      </c>
      <c r="AC30" s="6">
        <f>$M$30*$W$30</f>
        <v>0</v>
      </c>
      <c r="AD30" s="6">
        <f>$O$30*$X$30</f>
        <v>0</v>
      </c>
      <c r="AE30" s="6">
        <f ca="1">$K$30*$Y$30</f>
        <v>452556.80916341825</v>
      </c>
      <c r="AF30" s="6">
        <f>$M$30*$Z$30</f>
        <v>0</v>
      </c>
      <c r="AG30" s="6">
        <f>$O$30*$AA$30</f>
        <v>0</v>
      </c>
    </row>
    <row r="31" spans="1:33" ht="11.25" customHeight="1" x14ac:dyDescent="0.3">
      <c r="A31" s="4" t="s">
        <v>21</v>
      </c>
      <c r="B31" s="4" t="s">
        <v>35</v>
      </c>
      <c r="C31" s="4" t="s">
        <v>36</v>
      </c>
      <c r="D31" s="4" t="s">
        <v>34</v>
      </c>
      <c r="E31" s="4" t="s">
        <v>25</v>
      </c>
      <c r="F31" s="4" t="s">
        <v>25</v>
      </c>
      <c r="G31" s="4" t="s">
        <v>25</v>
      </c>
      <c r="H31" s="4" t="s">
        <v>25</v>
      </c>
      <c r="I31" s="5">
        <v>44531</v>
      </c>
      <c r="J31" s="6">
        <v>10745</v>
      </c>
      <c r="K31" s="6">
        <v>10745</v>
      </c>
      <c r="L31" s="6">
        <v>0</v>
      </c>
      <c r="M31" s="6">
        <v>0</v>
      </c>
      <c r="N31" s="6">
        <v>0</v>
      </c>
      <c r="O31" s="6">
        <v>0</v>
      </c>
      <c r="P31" s="6">
        <v>26</v>
      </c>
      <c r="Q31" s="4" t="s">
        <v>26</v>
      </c>
      <c r="R31" s="4">
        <v>0</v>
      </c>
      <c r="S31" s="6">
        <v>27</v>
      </c>
      <c r="T31" s="6">
        <v>0</v>
      </c>
      <c r="U31" s="6">
        <v>0</v>
      </c>
      <c r="V31" s="6">
        <f>IF(ISERROR(VLOOKUP($S$31,'TAR FIN'!$A$1:$O$85,15,0)),0,VLOOKUP($S$31,'TAR FIN'!$A$1:$O$85,15,0))</f>
        <v>41.15</v>
      </c>
      <c r="W31" s="6">
        <f>IF(ISERROR(VLOOKUP($T$31,'TAR FIN'!$A$1:$O$85,15,0)),0,VLOOKUP($T$31,'TAR FIN'!$A$1:$O$85,15,0))</f>
        <v>0</v>
      </c>
      <c r="X31" s="6">
        <f>IF(ISERROR(VLOOKUP($U$31,'TAR FIN'!$A$1:$O$85,15,0)),0,VLOOKUP($U$31,'TAR FIN'!$A$1:$O$85,15,0))</f>
        <v>0</v>
      </c>
      <c r="Y31" s="6">
        <f ca="1">('TUSD BE'!$AM$10+'TUSD BF'!$AM$10+'TUSD CVA'!$AM$10)*1</f>
        <v>41.446726729867045</v>
      </c>
      <c r="Z31" s="6"/>
      <c r="AA31" s="6"/>
      <c r="AB31" s="6">
        <f>$K$31*$V$31</f>
        <v>442156.75</v>
      </c>
      <c r="AC31" s="6">
        <f>$M$31*$W$31</f>
        <v>0</v>
      </c>
      <c r="AD31" s="6">
        <f>$O$31*$X$31</f>
        <v>0</v>
      </c>
      <c r="AE31" s="6">
        <f ca="1">$K$31*$Y$31</f>
        <v>445345.07871242141</v>
      </c>
      <c r="AF31" s="6">
        <f>$M$31*$Z$31</f>
        <v>0</v>
      </c>
      <c r="AG31" s="6">
        <f>$O$31*$AA$31</f>
        <v>0</v>
      </c>
    </row>
    <row r="32" spans="1:33" ht="11.25" customHeight="1" x14ac:dyDescent="0.3">
      <c r="A32" s="4" t="s">
        <v>27</v>
      </c>
      <c r="B32" s="4" t="s">
        <v>35</v>
      </c>
      <c r="C32" s="4" t="s">
        <v>36</v>
      </c>
      <c r="D32" s="4" t="s">
        <v>34</v>
      </c>
      <c r="E32" s="4" t="s">
        <v>25</v>
      </c>
      <c r="F32" s="4" t="s">
        <v>25</v>
      </c>
      <c r="G32" s="4" t="s">
        <v>25</v>
      </c>
      <c r="H32" s="4" t="s">
        <v>25</v>
      </c>
      <c r="I32" s="5">
        <v>44531</v>
      </c>
      <c r="J32" s="6">
        <v>-25</v>
      </c>
      <c r="K32" s="6">
        <v>-25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4" t="s">
        <v>26</v>
      </c>
      <c r="R32" s="4">
        <v>0</v>
      </c>
      <c r="S32" s="6">
        <v>27</v>
      </c>
      <c r="T32" s="6">
        <v>0</v>
      </c>
      <c r="U32" s="6">
        <v>0</v>
      </c>
      <c r="V32" s="6">
        <f>IF(ISERROR(VLOOKUP($S$32,'TAR FIN'!$A$1:$O$85,15,0)),0,VLOOKUP($S$32,'TAR FIN'!$A$1:$O$85,15,0))</f>
        <v>41.15</v>
      </c>
      <c r="W32" s="6">
        <f>IF(ISERROR(VLOOKUP($T$32,'TAR FIN'!$A$1:$O$85,15,0)),0,VLOOKUP($T$32,'TAR FIN'!$A$1:$O$85,15,0))</f>
        <v>0</v>
      </c>
      <c r="X32" s="6">
        <f>IF(ISERROR(VLOOKUP($U$32,'TAR FIN'!$A$1:$O$85,15,0)),0,VLOOKUP($U$32,'TAR FIN'!$A$1:$O$85,15,0))</f>
        <v>0</v>
      </c>
      <c r="Y32" s="6">
        <f ca="1">('TUSD BE'!$AM$10+'TUSD BF'!$AM$10+'TUSD CVA'!$AM$10)*1</f>
        <v>41.446726729867045</v>
      </c>
      <c r="Z32" s="6"/>
      <c r="AA32" s="6"/>
      <c r="AB32" s="6">
        <f>$K$32*$V$32</f>
        <v>-1028.75</v>
      </c>
      <c r="AC32" s="6">
        <f>$M$32*$W$32</f>
        <v>0</v>
      </c>
      <c r="AD32" s="6">
        <f>$O$32*$X$32</f>
        <v>0</v>
      </c>
      <c r="AE32" s="6">
        <f ca="1">$K$32*$Y$32</f>
        <v>-1036.168168246676</v>
      </c>
      <c r="AF32" s="6">
        <f>$M$32*$Z$32</f>
        <v>0</v>
      </c>
      <c r="AG32" s="6">
        <f>$O$32*$AA$32</f>
        <v>0</v>
      </c>
    </row>
    <row r="33" spans="1:33" ht="11.25" customHeight="1" x14ac:dyDescent="0.3">
      <c r="A33" s="4" t="s">
        <v>28</v>
      </c>
      <c r="B33" s="4" t="s">
        <v>35</v>
      </c>
      <c r="C33" s="4" t="s">
        <v>36</v>
      </c>
      <c r="D33" s="4" t="s">
        <v>34</v>
      </c>
      <c r="E33" s="4" t="s">
        <v>25</v>
      </c>
      <c r="F33" s="4" t="s">
        <v>25</v>
      </c>
      <c r="G33" s="4" t="s">
        <v>25</v>
      </c>
      <c r="H33" s="4" t="s">
        <v>25</v>
      </c>
      <c r="I33" s="5">
        <v>44531</v>
      </c>
      <c r="J33" s="6">
        <v>60</v>
      </c>
      <c r="K33" s="6">
        <v>60</v>
      </c>
      <c r="L33" s="6">
        <v>0</v>
      </c>
      <c r="M33" s="6">
        <v>0</v>
      </c>
      <c r="N33" s="6">
        <v>0</v>
      </c>
      <c r="O33" s="6">
        <v>0</v>
      </c>
      <c r="P33" s="6">
        <v>1</v>
      </c>
      <c r="Q33" s="4" t="s">
        <v>26</v>
      </c>
      <c r="R33" s="4">
        <v>0</v>
      </c>
      <c r="S33" s="6">
        <v>27</v>
      </c>
      <c r="T33" s="6">
        <v>0</v>
      </c>
      <c r="U33" s="6">
        <v>0</v>
      </c>
      <c r="V33" s="6">
        <f>IF(ISERROR(VLOOKUP($S$33,'TAR FIN'!$A$1:$O$85,15,0)),0,VLOOKUP($S$33,'TAR FIN'!$A$1:$O$85,15,0))</f>
        <v>41.15</v>
      </c>
      <c r="W33" s="6">
        <f>IF(ISERROR(VLOOKUP($T$33,'TAR FIN'!$A$1:$O$85,15,0)),0,VLOOKUP($T$33,'TAR FIN'!$A$1:$O$85,15,0))</f>
        <v>0</v>
      </c>
      <c r="X33" s="6">
        <f>IF(ISERROR(VLOOKUP($U$33,'TAR FIN'!$A$1:$O$85,15,0)),0,VLOOKUP($U$33,'TAR FIN'!$A$1:$O$85,15,0))</f>
        <v>0</v>
      </c>
      <c r="Y33" s="6">
        <f ca="1">('TUSD BE'!$AM$10+'TUSD BF'!$AM$10+'TUSD CVA'!$AM$10)*1</f>
        <v>41.446726729867045</v>
      </c>
      <c r="Z33" s="6"/>
      <c r="AA33" s="6"/>
      <c r="AB33" s="6">
        <f>$K$33*$V$33</f>
        <v>2469</v>
      </c>
      <c r="AC33" s="6">
        <f>$M$33*$W$33</f>
        <v>0</v>
      </c>
      <c r="AD33" s="6">
        <f>$O$33*$X$33</f>
        <v>0</v>
      </c>
      <c r="AE33" s="6">
        <f ca="1">$K$33*$Y$33</f>
        <v>2486.8036037920228</v>
      </c>
      <c r="AF33" s="6">
        <f>$M$33*$Z$33</f>
        <v>0</v>
      </c>
      <c r="AG33" s="6">
        <f>$O$33*$AA$33</f>
        <v>0</v>
      </c>
    </row>
    <row r="34" spans="1:33" ht="11.25" customHeight="1" x14ac:dyDescent="0.3">
      <c r="A34" s="4" t="s">
        <v>21</v>
      </c>
      <c r="B34" s="4" t="s">
        <v>35</v>
      </c>
      <c r="C34" s="4" t="s">
        <v>36</v>
      </c>
      <c r="D34" s="4" t="s">
        <v>34</v>
      </c>
      <c r="E34" s="4" t="s">
        <v>25</v>
      </c>
      <c r="F34" s="4" t="s">
        <v>25</v>
      </c>
      <c r="G34" s="4" t="s">
        <v>25</v>
      </c>
      <c r="H34" s="4" t="s">
        <v>25</v>
      </c>
      <c r="I34" s="5">
        <v>44562</v>
      </c>
      <c r="J34" s="6">
        <v>10438</v>
      </c>
      <c r="K34" s="6">
        <v>10438</v>
      </c>
      <c r="L34" s="6">
        <v>0</v>
      </c>
      <c r="M34" s="6">
        <v>0</v>
      </c>
      <c r="N34" s="6">
        <v>0</v>
      </c>
      <c r="O34" s="6">
        <v>0</v>
      </c>
      <c r="P34" s="6">
        <v>26</v>
      </c>
      <c r="Q34" s="4" t="s">
        <v>26</v>
      </c>
      <c r="R34" s="4">
        <v>0</v>
      </c>
      <c r="S34" s="6">
        <v>27</v>
      </c>
      <c r="T34" s="6">
        <v>0</v>
      </c>
      <c r="U34" s="6">
        <v>0</v>
      </c>
      <c r="V34" s="6">
        <f>IF(ISERROR(VLOOKUP($S$34,'TAR FIN'!$A$1:$O$85,15,0)),0,VLOOKUP($S$34,'TAR FIN'!$A$1:$O$85,15,0))</f>
        <v>41.15</v>
      </c>
      <c r="W34" s="6">
        <f>IF(ISERROR(VLOOKUP($T$34,'TAR FIN'!$A$1:$O$85,15,0)),0,VLOOKUP($T$34,'TAR FIN'!$A$1:$O$85,15,0))</f>
        <v>0</v>
      </c>
      <c r="X34" s="6">
        <f>IF(ISERROR(VLOOKUP($U$34,'TAR FIN'!$A$1:$O$85,15,0)),0,VLOOKUP($U$34,'TAR FIN'!$A$1:$O$85,15,0))</f>
        <v>0</v>
      </c>
      <c r="Y34" s="6">
        <f ca="1">('TUSD BE'!$AM$10+'TUSD BF'!$AM$10+'TUSD CVA'!$AM$10)*1</f>
        <v>41.446726729867045</v>
      </c>
      <c r="Z34" s="6"/>
      <c r="AA34" s="6"/>
      <c r="AB34" s="6">
        <f>$K$34*$V$34</f>
        <v>429523.7</v>
      </c>
      <c r="AC34" s="6">
        <f>$M$34*$W$34</f>
        <v>0</v>
      </c>
      <c r="AD34" s="6">
        <f>$O$34*$X$34</f>
        <v>0</v>
      </c>
      <c r="AE34" s="6">
        <f ca="1">$K$34*$Y$34</f>
        <v>432620.93360635219</v>
      </c>
      <c r="AF34" s="6">
        <f>$M$34*$Z$34</f>
        <v>0</v>
      </c>
      <c r="AG34" s="6">
        <f>$O$34*$AA$34</f>
        <v>0</v>
      </c>
    </row>
    <row r="35" spans="1:33" ht="11.25" customHeight="1" x14ac:dyDescent="0.3">
      <c r="A35" s="4" t="s">
        <v>28</v>
      </c>
      <c r="B35" s="4" t="s">
        <v>35</v>
      </c>
      <c r="C35" s="4" t="s">
        <v>36</v>
      </c>
      <c r="D35" s="4" t="s">
        <v>34</v>
      </c>
      <c r="E35" s="4" t="s">
        <v>25</v>
      </c>
      <c r="F35" s="4" t="s">
        <v>25</v>
      </c>
      <c r="G35" s="4" t="s">
        <v>25</v>
      </c>
      <c r="H35" s="4" t="s">
        <v>25</v>
      </c>
      <c r="I35" s="5">
        <v>44562</v>
      </c>
      <c r="J35" s="6">
        <v>57</v>
      </c>
      <c r="K35" s="6">
        <v>57</v>
      </c>
      <c r="L35" s="6">
        <v>0</v>
      </c>
      <c r="M35" s="6">
        <v>0</v>
      </c>
      <c r="N35" s="6">
        <v>0</v>
      </c>
      <c r="O35" s="6">
        <v>0</v>
      </c>
      <c r="P35" s="6">
        <v>1</v>
      </c>
      <c r="Q35" s="4" t="s">
        <v>26</v>
      </c>
      <c r="R35" s="4">
        <v>0</v>
      </c>
      <c r="S35" s="6">
        <v>27</v>
      </c>
      <c r="T35" s="6">
        <v>0</v>
      </c>
      <c r="U35" s="6">
        <v>0</v>
      </c>
      <c r="V35" s="6">
        <f>IF(ISERROR(VLOOKUP($S$35,'TAR FIN'!$A$1:$O$85,15,0)),0,VLOOKUP($S$35,'TAR FIN'!$A$1:$O$85,15,0))</f>
        <v>41.15</v>
      </c>
      <c r="W35" s="6">
        <f>IF(ISERROR(VLOOKUP($T$35,'TAR FIN'!$A$1:$O$85,15,0)),0,VLOOKUP($T$35,'TAR FIN'!$A$1:$O$85,15,0))</f>
        <v>0</v>
      </c>
      <c r="X35" s="6">
        <f>IF(ISERROR(VLOOKUP($U$35,'TAR FIN'!$A$1:$O$85,15,0)),0,VLOOKUP($U$35,'TAR FIN'!$A$1:$O$85,15,0))</f>
        <v>0</v>
      </c>
      <c r="Y35" s="6">
        <f ca="1">('TUSD BE'!$AM$10+'TUSD BF'!$AM$10+'TUSD CVA'!$AM$10)*1</f>
        <v>41.446726729867045</v>
      </c>
      <c r="Z35" s="6"/>
      <c r="AA35" s="6"/>
      <c r="AB35" s="6">
        <f>$K$35*$V$35</f>
        <v>2345.5499999999997</v>
      </c>
      <c r="AC35" s="6">
        <f>$M$35*$W$35</f>
        <v>0</v>
      </c>
      <c r="AD35" s="6">
        <f>$O$35*$X$35</f>
        <v>0</v>
      </c>
      <c r="AE35" s="6">
        <f ca="1">$K$35*$Y$35</f>
        <v>2362.4634236024217</v>
      </c>
      <c r="AF35" s="6">
        <f>$M$35*$Z$35</f>
        <v>0</v>
      </c>
      <c r="AG35" s="6">
        <f>$O$35*$AA$35</f>
        <v>0</v>
      </c>
    </row>
    <row r="36" spans="1:33" ht="11.25" customHeight="1" x14ac:dyDescent="0.3">
      <c r="A36" s="4" t="s">
        <v>21</v>
      </c>
      <c r="B36" s="4" t="s">
        <v>35</v>
      </c>
      <c r="C36" s="4" t="s">
        <v>36</v>
      </c>
      <c r="D36" s="4" t="s">
        <v>34</v>
      </c>
      <c r="E36" s="4" t="s">
        <v>25</v>
      </c>
      <c r="F36" s="4" t="s">
        <v>25</v>
      </c>
      <c r="G36" s="4" t="s">
        <v>25</v>
      </c>
      <c r="H36" s="4" t="s">
        <v>25</v>
      </c>
      <c r="I36" s="5">
        <v>44593</v>
      </c>
      <c r="J36" s="6">
        <v>10722</v>
      </c>
      <c r="K36" s="6">
        <v>10722</v>
      </c>
      <c r="L36" s="6">
        <v>0</v>
      </c>
      <c r="M36" s="6">
        <v>0</v>
      </c>
      <c r="N36" s="6">
        <v>0</v>
      </c>
      <c r="O36" s="6">
        <v>0</v>
      </c>
      <c r="P36" s="6">
        <v>26</v>
      </c>
      <c r="Q36" s="4" t="s">
        <v>26</v>
      </c>
      <c r="R36" s="4">
        <v>0</v>
      </c>
      <c r="S36" s="6">
        <v>27</v>
      </c>
      <c r="T36" s="6">
        <v>0</v>
      </c>
      <c r="U36" s="6">
        <v>0</v>
      </c>
      <c r="V36" s="6">
        <f>IF(ISERROR(VLOOKUP($S$36,'TAR FIN'!$A$1:$O$85,15,0)),0,VLOOKUP($S$36,'TAR FIN'!$A$1:$O$85,15,0))</f>
        <v>41.15</v>
      </c>
      <c r="W36" s="6">
        <f>IF(ISERROR(VLOOKUP($T$36,'TAR FIN'!$A$1:$O$85,15,0)),0,VLOOKUP($T$36,'TAR FIN'!$A$1:$O$85,15,0))</f>
        <v>0</v>
      </c>
      <c r="X36" s="6">
        <f>IF(ISERROR(VLOOKUP($U$36,'TAR FIN'!$A$1:$O$85,15,0)),0,VLOOKUP($U$36,'TAR FIN'!$A$1:$O$85,15,0))</f>
        <v>0</v>
      </c>
      <c r="Y36" s="6">
        <f ca="1">('TUSD BE'!$AM$10+'TUSD BF'!$AM$10+'TUSD CVA'!$AM$10)*1</f>
        <v>41.446726729867045</v>
      </c>
      <c r="Z36" s="6"/>
      <c r="AA36" s="6"/>
      <c r="AB36" s="6">
        <f>$K$36*$V$36</f>
        <v>441210.3</v>
      </c>
      <c r="AC36" s="6">
        <f>$M$36*$W$36</f>
        <v>0</v>
      </c>
      <c r="AD36" s="6">
        <f>$O$36*$X$36</f>
        <v>0</v>
      </c>
      <c r="AE36" s="6">
        <f ca="1">$K$36*$Y$36</f>
        <v>444391.80399763444</v>
      </c>
      <c r="AF36" s="6">
        <f>$M$36*$Z$36</f>
        <v>0</v>
      </c>
      <c r="AG36" s="6">
        <f>$O$36*$AA$36</f>
        <v>0</v>
      </c>
    </row>
    <row r="37" spans="1:33" ht="11.25" customHeight="1" x14ac:dyDescent="0.3">
      <c r="A37" s="4" t="s">
        <v>28</v>
      </c>
      <c r="B37" s="4" t="s">
        <v>35</v>
      </c>
      <c r="C37" s="4" t="s">
        <v>36</v>
      </c>
      <c r="D37" s="4" t="s">
        <v>34</v>
      </c>
      <c r="E37" s="4" t="s">
        <v>25</v>
      </c>
      <c r="F37" s="4" t="s">
        <v>25</v>
      </c>
      <c r="G37" s="4" t="s">
        <v>25</v>
      </c>
      <c r="H37" s="4" t="s">
        <v>25</v>
      </c>
      <c r="I37" s="5">
        <v>44593</v>
      </c>
      <c r="J37" s="6">
        <v>100</v>
      </c>
      <c r="K37" s="6">
        <v>100</v>
      </c>
      <c r="L37" s="6">
        <v>0</v>
      </c>
      <c r="M37" s="6">
        <v>0</v>
      </c>
      <c r="N37" s="6">
        <v>0</v>
      </c>
      <c r="O37" s="6">
        <v>0</v>
      </c>
      <c r="P37" s="6">
        <v>1</v>
      </c>
      <c r="Q37" s="4" t="s">
        <v>26</v>
      </c>
      <c r="R37" s="4">
        <v>0</v>
      </c>
      <c r="S37" s="6">
        <v>27</v>
      </c>
      <c r="T37" s="6">
        <v>0</v>
      </c>
      <c r="U37" s="6">
        <v>0</v>
      </c>
      <c r="V37" s="6">
        <f>IF(ISERROR(VLOOKUP($S$37,'TAR FIN'!$A$1:$O$85,15,0)),0,VLOOKUP($S$37,'TAR FIN'!$A$1:$O$85,15,0))</f>
        <v>41.15</v>
      </c>
      <c r="W37" s="6">
        <f>IF(ISERROR(VLOOKUP($T$37,'TAR FIN'!$A$1:$O$85,15,0)),0,VLOOKUP($T$37,'TAR FIN'!$A$1:$O$85,15,0))</f>
        <v>0</v>
      </c>
      <c r="X37" s="6">
        <f>IF(ISERROR(VLOOKUP($U$37,'TAR FIN'!$A$1:$O$85,15,0)),0,VLOOKUP($U$37,'TAR FIN'!$A$1:$O$85,15,0))</f>
        <v>0</v>
      </c>
      <c r="Y37" s="6">
        <f ca="1">('TUSD BE'!$AM$10+'TUSD BF'!$AM$10+'TUSD CVA'!$AM$10)*1</f>
        <v>41.446726729867045</v>
      </c>
      <c r="Z37" s="6"/>
      <c r="AA37" s="6"/>
      <c r="AB37" s="6">
        <f>$K$37*$V$37</f>
        <v>4115</v>
      </c>
      <c r="AC37" s="6">
        <f>$M$37*$W$37</f>
        <v>0</v>
      </c>
      <c r="AD37" s="6">
        <f>$O$37*$X$37</f>
        <v>0</v>
      </c>
      <c r="AE37" s="6">
        <f ca="1">$K$37*$Y$37</f>
        <v>4144.6726729867041</v>
      </c>
      <c r="AF37" s="6">
        <f>$M$37*$Z$37</f>
        <v>0</v>
      </c>
      <c r="AG37" s="6">
        <f>$O$37*$AA$37</f>
        <v>0</v>
      </c>
    </row>
    <row r="38" spans="1:33" ht="11.25" customHeight="1" x14ac:dyDescent="0.3">
      <c r="A38" s="4" t="s">
        <v>21</v>
      </c>
      <c r="B38" s="4" t="s">
        <v>35</v>
      </c>
      <c r="C38" s="4" t="s">
        <v>36</v>
      </c>
      <c r="D38" s="4" t="s">
        <v>34</v>
      </c>
      <c r="E38" s="4" t="s">
        <v>25</v>
      </c>
      <c r="F38" s="4" t="s">
        <v>25</v>
      </c>
      <c r="G38" s="4" t="s">
        <v>25</v>
      </c>
      <c r="H38" s="4" t="s">
        <v>25</v>
      </c>
      <c r="I38" s="5">
        <v>44621</v>
      </c>
      <c r="J38" s="6">
        <v>10545</v>
      </c>
      <c r="K38" s="6">
        <v>10545</v>
      </c>
      <c r="L38" s="6">
        <v>0</v>
      </c>
      <c r="M38" s="6">
        <v>0</v>
      </c>
      <c r="N38" s="6">
        <v>0</v>
      </c>
      <c r="O38" s="6">
        <v>0</v>
      </c>
      <c r="P38" s="6">
        <v>26</v>
      </c>
      <c r="Q38" s="4" t="s">
        <v>26</v>
      </c>
      <c r="R38" s="4">
        <v>0</v>
      </c>
      <c r="S38" s="6">
        <v>27</v>
      </c>
      <c r="T38" s="6">
        <v>0</v>
      </c>
      <c r="U38" s="6">
        <v>0</v>
      </c>
      <c r="V38" s="6">
        <f>IF(ISERROR(VLOOKUP($S$38,'TAR FIN'!$A$1:$O$85,15,0)),0,VLOOKUP($S$38,'TAR FIN'!$A$1:$O$85,15,0))</f>
        <v>41.15</v>
      </c>
      <c r="W38" s="6">
        <f>IF(ISERROR(VLOOKUP($T$38,'TAR FIN'!$A$1:$O$85,15,0)),0,VLOOKUP($T$38,'TAR FIN'!$A$1:$O$85,15,0))</f>
        <v>0</v>
      </c>
      <c r="X38" s="6">
        <f>IF(ISERROR(VLOOKUP($U$38,'TAR FIN'!$A$1:$O$85,15,0)),0,VLOOKUP($U$38,'TAR FIN'!$A$1:$O$85,15,0))</f>
        <v>0</v>
      </c>
      <c r="Y38" s="6">
        <f ca="1">('TUSD BE'!$AM$10+'TUSD BF'!$AM$10+'TUSD CVA'!$AM$10)*1</f>
        <v>41.446726729867045</v>
      </c>
      <c r="Z38" s="6"/>
      <c r="AA38" s="6"/>
      <c r="AB38" s="6">
        <f>$K$38*$V$38</f>
        <v>433926.75</v>
      </c>
      <c r="AC38" s="6">
        <f>$M$38*$W$38</f>
        <v>0</v>
      </c>
      <c r="AD38" s="6">
        <f>$O$38*$X$38</f>
        <v>0</v>
      </c>
      <c r="AE38" s="6">
        <f ca="1">$K$38*$Y$38</f>
        <v>437055.73336644797</v>
      </c>
      <c r="AF38" s="6">
        <f>$M$38*$Z$38</f>
        <v>0</v>
      </c>
      <c r="AG38" s="6">
        <f>$O$38*$AA$38</f>
        <v>0</v>
      </c>
    </row>
    <row r="39" spans="1:33" ht="11.25" customHeight="1" x14ac:dyDescent="0.3">
      <c r="A39" s="4" t="s">
        <v>28</v>
      </c>
      <c r="B39" s="4" t="s">
        <v>35</v>
      </c>
      <c r="C39" s="4" t="s">
        <v>36</v>
      </c>
      <c r="D39" s="4" t="s">
        <v>34</v>
      </c>
      <c r="E39" s="4" t="s">
        <v>25</v>
      </c>
      <c r="F39" s="4" t="s">
        <v>25</v>
      </c>
      <c r="G39" s="4" t="s">
        <v>25</v>
      </c>
      <c r="H39" s="4" t="s">
        <v>25</v>
      </c>
      <c r="I39" s="5">
        <v>44621</v>
      </c>
      <c r="J39" s="6">
        <v>100</v>
      </c>
      <c r="K39" s="6">
        <v>100</v>
      </c>
      <c r="L39" s="6">
        <v>0</v>
      </c>
      <c r="M39" s="6">
        <v>0</v>
      </c>
      <c r="N39" s="6">
        <v>0</v>
      </c>
      <c r="O39" s="6">
        <v>0</v>
      </c>
      <c r="P39" s="6">
        <v>1</v>
      </c>
      <c r="Q39" s="4" t="s">
        <v>26</v>
      </c>
      <c r="R39" s="4">
        <v>0</v>
      </c>
      <c r="S39" s="6">
        <v>27</v>
      </c>
      <c r="T39" s="6">
        <v>0</v>
      </c>
      <c r="U39" s="6">
        <v>0</v>
      </c>
      <c r="V39" s="6">
        <f>IF(ISERROR(VLOOKUP($S$39,'TAR FIN'!$A$1:$O$85,15,0)),0,VLOOKUP($S$39,'TAR FIN'!$A$1:$O$85,15,0))</f>
        <v>41.15</v>
      </c>
      <c r="W39" s="6">
        <f>IF(ISERROR(VLOOKUP($T$39,'TAR FIN'!$A$1:$O$85,15,0)),0,VLOOKUP($T$39,'TAR FIN'!$A$1:$O$85,15,0))</f>
        <v>0</v>
      </c>
      <c r="X39" s="6">
        <f>IF(ISERROR(VLOOKUP($U$39,'TAR FIN'!$A$1:$O$85,15,0)),0,VLOOKUP($U$39,'TAR FIN'!$A$1:$O$85,15,0))</f>
        <v>0</v>
      </c>
      <c r="Y39" s="6">
        <f ca="1">('TUSD BE'!$AM$10+'TUSD BF'!$AM$10+'TUSD CVA'!$AM$10)*1</f>
        <v>41.446726729867045</v>
      </c>
      <c r="Z39" s="6"/>
      <c r="AA39" s="6"/>
      <c r="AB39" s="6">
        <f>$K$39*$V$39</f>
        <v>4115</v>
      </c>
      <c r="AC39" s="6">
        <f>$M$39*$W$39</f>
        <v>0</v>
      </c>
      <c r="AD39" s="6">
        <f>$O$39*$X$39</f>
        <v>0</v>
      </c>
      <c r="AE39" s="6">
        <f ca="1">$K$39*$Y$39</f>
        <v>4144.6726729867041</v>
      </c>
      <c r="AF39" s="6">
        <f>$M$39*$Z$39</f>
        <v>0</v>
      </c>
      <c r="AG39" s="6">
        <f>$O$39*$AA$39</f>
        <v>0</v>
      </c>
    </row>
    <row r="40" spans="1:33" ht="11.25" customHeight="1" x14ac:dyDescent="0.3">
      <c r="A40" s="4" t="s">
        <v>21</v>
      </c>
      <c r="B40" s="4" t="s">
        <v>35</v>
      </c>
      <c r="C40" s="4" t="s">
        <v>36</v>
      </c>
      <c r="D40" s="4" t="s">
        <v>34</v>
      </c>
      <c r="E40" s="4" t="s">
        <v>25</v>
      </c>
      <c r="F40" s="4" t="s">
        <v>25</v>
      </c>
      <c r="G40" s="4" t="s">
        <v>25</v>
      </c>
      <c r="H40" s="4" t="s">
        <v>25</v>
      </c>
      <c r="I40" s="5">
        <v>44652</v>
      </c>
      <c r="J40" s="6">
        <v>10849</v>
      </c>
      <c r="K40" s="6">
        <v>10849</v>
      </c>
      <c r="L40" s="6">
        <v>0</v>
      </c>
      <c r="M40" s="6">
        <v>0</v>
      </c>
      <c r="N40" s="6">
        <v>0</v>
      </c>
      <c r="O40" s="6">
        <v>0</v>
      </c>
      <c r="P40" s="6">
        <v>26</v>
      </c>
      <c r="Q40" s="4" t="s">
        <v>26</v>
      </c>
      <c r="R40" s="4">
        <v>0</v>
      </c>
      <c r="S40" s="6">
        <v>27</v>
      </c>
      <c r="T40" s="6">
        <v>0</v>
      </c>
      <c r="U40" s="6">
        <v>0</v>
      </c>
      <c r="V40" s="6">
        <f>IF(ISERROR(VLOOKUP($S$40,'TAR FIN'!$A$1:$O$85,15,0)),0,VLOOKUP($S$40,'TAR FIN'!$A$1:$O$85,15,0))</f>
        <v>41.15</v>
      </c>
      <c r="W40" s="6">
        <f>IF(ISERROR(VLOOKUP($T$40,'TAR FIN'!$A$1:$O$85,15,0)),0,VLOOKUP($T$40,'TAR FIN'!$A$1:$O$85,15,0))</f>
        <v>0</v>
      </c>
      <c r="X40" s="6">
        <f>IF(ISERROR(VLOOKUP($U$40,'TAR FIN'!$A$1:$O$85,15,0)),0,VLOOKUP($U$40,'TAR FIN'!$A$1:$O$85,15,0))</f>
        <v>0</v>
      </c>
      <c r="Y40" s="6">
        <f ca="1">('TUSD BE'!$AM$10+'TUSD BF'!$AM$10+'TUSD CVA'!$AM$10)*1</f>
        <v>41.446726729867045</v>
      </c>
      <c r="Z40" s="6"/>
      <c r="AA40" s="6"/>
      <c r="AB40" s="6">
        <f>$K$40*$V$40</f>
        <v>446436.35</v>
      </c>
      <c r="AC40" s="6">
        <f>$M$40*$W$40</f>
        <v>0</v>
      </c>
      <c r="AD40" s="6">
        <f>$O$40*$X$40</f>
        <v>0</v>
      </c>
      <c r="AE40" s="6">
        <f ca="1">$K$40*$Y$40</f>
        <v>449655.53829232755</v>
      </c>
      <c r="AF40" s="6">
        <f>$M$40*$Z$40</f>
        <v>0</v>
      </c>
      <c r="AG40" s="6">
        <f>$O$40*$AA$40</f>
        <v>0</v>
      </c>
    </row>
    <row r="41" spans="1:33" ht="11.25" customHeight="1" x14ac:dyDescent="0.3">
      <c r="A41" s="4" t="s">
        <v>28</v>
      </c>
      <c r="B41" s="4" t="s">
        <v>35</v>
      </c>
      <c r="C41" s="4" t="s">
        <v>36</v>
      </c>
      <c r="D41" s="4" t="s">
        <v>34</v>
      </c>
      <c r="E41" s="4" t="s">
        <v>25</v>
      </c>
      <c r="F41" s="4" t="s">
        <v>25</v>
      </c>
      <c r="G41" s="4" t="s">
        <v>25</v>
      </c>
      <c r="H41" s="4" t="s">
        <v>25</v>
      </c>
      <c r="I41" s="5">
        <v>44652</v>
      </c>
      <c r="J41" s="6">
        <v>100</v>
      </c>
      <c r="K41" s="6">
        <v>100</v>
      </c>
      <c r="L41" s="6">
        <v>0</v>
      </c>
      <c r="M41" s="6">
        <v>0</v>
      </c>
      <c r="N41" s="6">
        <v>0</v>
      </c>
      <c r="O41" s="6">
        <v>0</v>
      </c>
      <c r="P41" s="6">
        <v>1</v>
      </c>
      <c r="Q41" s="4" t="s">
        <v>26</v>
      </c>
      <c r="R41" s="4">
        <v>0</v>
      </c>
      <c r="S41" s="6">
        <v>27</v>
      </c>
      <c r="T41" s="6">
        <v>0</v>
      </c>
      <c r="U41" s="6">
        <v>0</v>
      </c>
      <c r="V41" s="6">
        <f>IF(ISERROR(VLOOKUP($S$41,'TAR FIN'!$A$1:$O$85,15,0)),0,VLOOKUP($S$41,'TAR FIN'!$A$1:$O$85,15,0))</f>
        <v>41.15</v>
      </c>
      <c r="W41" s="6">
        <f>IF(ISERROR(VLOOKUP($T$41,'TAR FIN'!$A$1:$O$85,15,0)),0,VLOOKUP($T$41,'TAR FIN'!$A$1:$O$85,15,0))</f>
        <v>0</v>
      </c>
      <c r="X41" s="6">
        <f>IF(ISERROR(VLOOKUP($U$41,'TAR FIN'!$A$1:$O$85,15,0)),0,VLOOKUP($U$41,'TAR FIN'!$A$1:$O$85,15,0))</f>
        <v>0</v>
      </c>
      <c r="Y41" s="6">
        <f ca="1">('TUSD BE'!$AM$10+'TUSD BF'!$AM$10+'TUSD CVA'!$AM$10)*1</f>
        <v>41.446726729867045</v>
      </c>
      <c r="Z41" s="6"/>
      <c r="AA41" s="6"/>
      <c r="AB41" s="6">
        <f>$K$41*$V$41</f>
        <v>4115</v>
      </c>
      <c r="AC41" s="6">
        <f>$M$41*$W$41</f>
        <v>0</v>
      </c>
      <c r="AD41" s="6">
        <f>$O$41*$X$41</f>
        <v>0</v>
      </c>
      <c r="AE41" s="6">
        <f ca="1">$K$41*$Y$41</f>
        <v>4144.6726729867041</v>
      </c>
      <c r="AF41" s="6">
        <f>$M$41*$Z$41</f>
        <v>0</v>
      </c>
      <c r="AG41" s="6">
        <f>$O$41*$AA$41</f>
        <v>0</v>
      </c>
    </row>
    <row r="42" spans="1:33" ht="11.25" customHeight="1" x14ac:dyDescent="0.3">
      <c r="A42" s="4" t="s">
        <v>21</v>
      </c>
      <c r="B42" s="4" t="s">
        <v>35</v>
      </c>
      <c r="C42" s="4" t="s">
        <v>36</v>
      </c>
      <c r="D42" s="4" t="s">
        <v>34</v>
      </c>
      <c r="E42" s="4" t="s">
        <v>25</v>
      </c>
      <c r="F42" s="4" t="s">
        <v>25</v>
      </c>
      <c r="G42" s="4" t="s">
        <v>25</v>
      </c>
      <c r="H42" s="4" t="s">
        <v>25</v>
      </c>
      <c r="I42" s="5">
        <v>44682</v>
      </c>
      <c r="J42" s="6">
        <v>10370</v>
      </c>
      <c r="K42" s="6">
        <v>10370</v>
      </c>
      <c r="L42" s="6">
        <v>0</v>
      </c>
      <c r="M42" s="6">
        <v>0</v>
      </c>
      <c r="N42" s="6">
        <v>0</v>
      </c>
      <c r="O42" s="6">
        <v>0</v>
      </c>
      <c r="P42" s="6">
        <v>26</v>
      </c>
      <c r="Q42" s="4" t="s">
        <v>26</v>
      </c>
      <c r="R42" s="4">
        <v>0</v>
      </c>
      <c r="S42" s="6">
        <v>27</v>
      </c>
      <c r="T42" s="6">
        <v>0</v>
      </c>
      <c r="U42" s="6">
        <v>0</v>
      </c>
      <c r="V42" s="6">
        <f>IF(ISERROR(VLOOKUP($S$42,'TAR FIN'!$A$1:$O$85,15,0)),0,VLOOKUP($S$42,'TAR FIN'!$A$1:$O$85,15,0))</f>
        <v>41.15</v>
      </c>
      <c r="W42" s="6">
        <f>IF(ISERROR(VLOOKUP($T$42,'TAR FIN'!$A$1:$O$85,15,0)),0,VLOOKUP($T$42,'TAR FIN'!$A$1:$O$85,15,0))</f>
        <v>0</v>
      </c>
      <c r="X42" s="6">
        <f>IF(ISERROR(VLOOKUP($U$42,'TAR FIN'!$A$1:$O$85,15,0)),0,VLOOKUP($U$42,'TAR FIN'!$A$1:$O$85,15,0))</f>
        <v>0</v>
      </c>
      <c r="Y42" s="6">
        <f ca="1">('TUSD BE'!$AM$10+'TUSD BF'!$AM$10+'TUSD CVA'!$AM$10)*1</f>
        <v>41.446726729867045</v>
      </c>
      <c r="Z42" s="6"/>
      <c r="AA42" s="6"/>
      <c r="AB42" s="6">
        <f>$K$42*$V$42</f>
        <v>426725.5</v>
      </c>
      <c r="AC42" s="6">
        <f>$M$42*$W$42</f>
        <v>0</v>
      </c>
      <c r="AD42" s="6">
        <f>$O$42*$X$42</f>
        <v>0</v>
      </c>
      <c r="AE42" s="6">
        <f ca="1">$K$42*$Y$42</f>
        <v>429802.55618872127</v>
      </c>
      <c r="AF42" s="6">
        <f>$M$42*$Z$42</f>
        <v>0</v>
      </c>
      <c r="AG42" s="6">
        <f>$O$42*$AA$42</f>
        <v>0</v>
      </c>
    </row>
    <row r="43" spans="1:33" ht="11.25" customHeight="1" x14ac:dyDescent="0.3">
      <c r="A43" s="4" t="s">
        <v>28</v>
      </c>
      <c r="B43" s="4" t="s">
        <v>35</v>
      </c>
      <c r="C43" s="4" t="s">
        <v>36</v>
      </c>
      <c r="D43" s="4" t="s">
        <v>34</v>
      </c>
      <c r="E43" s="4" t="s">
        <v>25</v>
      </c>
      <c r="F43" s="4" t="s">
        <v>25</v>
      </c>
      <c r="G43" s="4" t="s">
        <v>25</v>
      </c>
      <c r="H43" s="4" t="s">
        <v>25</v>
      </c>
      <c r="I43" s="5">
        <v>44682</v>
      </c>
      <c r="J43" s="6">
        <v>80</v>
      </c>
      <c r="K43" s="6">
        <v>80</v>
      </c>
      <c r="L43" s="6">
        <v>0</v>
      </c>
      <c r="M43" s="6">
        <v>0</v>
      </c>
      <c r="N43" s="6">
        <v>0</v>
      </c>
      <c r="O43" s="6">
        <v>0</v>
      </c>
      <c r="P43" s="6">
        <v>1</v>
      </c>
      <c r="Q43" s="4" t="s">
        <v>26</v>
      </c>
      <c r="R43" s="4">
        <v>0</v>
      </c>
      <c r="S43" s="6">
        <v>27</v>
      </c>
      <c r="T43" s="6">
        <v>0</v>
      </c>
      <c r="U43" s="6">
        <v>0</v>
      </c>
      <c r="V43" s="6">
        <f>IF(ISERROR(VLOOKUP($S$43,'TAR FIN'!$A$1:$O$85,15,0)),0,VLOOKUP($S$43,'TAR FIN'!$A$1:$O$85,15,0))</f>
        <v>41.15</v>
      </c>
      <c r="W43" s="6">
        <f>IF(ISERROR(VLOOKUP($T$43,'TAR FIN'!$A$1:$O$85,15,0)),0,VLOOKUP($T$43,'TAR FIN'!$A$1:$O$85,15,0))</f>
        <v>0</v>
      </c>
      <c r="X43" s="6">
        <f>IF(ISERROR(VLOOKUP($U$43,'TAR FIN'!$A$1:$O$85,15,0)),0,VLOOKUP($U$43,'TAR FIN'!$A$1:$O$85,15,0))</f>
        <v>0</v>
      </c>
      <c r="Y43" s="6">
        <f ca="1">('TUSD BE'!$AM$10+'TUSD BF'!$AM$10+'TUSD CVA'!$AM$10)*1</f>
        <v>41.446726729867045</v>
      </c>
      <c r="Z43" s="6"/>
      <c r="AA43" s="6"/>
      <c r="AB43" s="6">
        <f>$K$43*$V$43</f>
        <v>3292</v>
      </c>
      <c r="AC43" s="6">
        <f>$M$43*$W$43</f>
        <v>0</v>
      </c>
      <c r="AD43" s="6">
        <f>$O$43*$X$43</f>
        <v>0</v>
      </c>
      <c r="AE43" s="6">
        <f ca="1">$K$43*$Y$43</f>
        <v>3315.7381383893635</v>
      </c>
      <c r="AF43" s="6">
        <f>$M$43*$Z$43</f>
        <v>0</v>
      </c>
      <c r="AG43" s="6">
        <f>$O$43*$AA$43</f>
        <v>0</v>
      </c>
    </row>
    <row r="44" spans="1:33" ht="11.25" customHeight="1" x14ac:dyDescent="0.3">
      <c r="A44" s="4" t="s">
        <v>21</v>
      </c>
      <c r="B44" s="4" t="s">
        <v>35</v>
      </c>
      <c r="C44" s="4" t="s">
        <v>36</v>
      </c>
      <c r="D44" s="4" t="s">
        <v>34</v>
      </c>
      <c r="E44" s="4" t="s">
        <v>25</v>
      </c>
      <c r="F44" s="4" t="s">
        <v>25</v>
      </c>
      <c r="G44" s="4" t="s">
        <v>25</v>
      </c>
      <c r="H44" s="4" t="s">
        <v>25</v>
      </c>
      <c r="I44" s="5">
        <v>44713</v>
      </c>
      <c r="J44" s="6">
        <v>10447</v>
      </c>
      <c r="K44" s="6">
        <v>10447</v>
      </c>
      <c r="L44" s="6">
        <v>0</v>
      </c>
      <c r="M44" s="6">
        <v>0</v>
      </c>
      <c r="N44" s="6">
        <v>0</v>
      </c>
      <c r="O44" s="6">
        <v>0</v>
      </c>
      <c r="P44" s="6">
        <v>26</v>
      </c>
      <c r="Q44" s="4" t="s">
        <v>26</v>
      </c>
      <c r="R44" s="4">
        <v>0</v>
      </c>
      <c r="S44" s="6">
        <v>27</v>
      </c>
      <c r="T44" s="6">
        <v>0</v>
      </c>
      <c r="U44" s="6">
        <v>0</v>
      </c>
      <c r="V44" s="6">
        <f>IF(ISERROR(VLOOKUP($S$44,'TAR FIN'!$A$1:$O$85,15,0)),0,VLOOKUP($S$44,'TAR FIN'!$A$1:$O$85,15,0))</f>
        <v>41.15</v>
      </c>
      <c r="W44" s="6">
        <f>IF(ISERROR(VLOOKUP($T$44,'TAR FIN'!$A$1:$O$85,15,0)),0,VLOOKUP($T$44,'TAR FIN'!$A$1:$O$85,15,0))</f>
        <v>0</v>
      </c>
      <c r="X44" s="6">
        <f>IF(ISERROR(VLOOKUP($U$44,'TAR FIN'!$A$1:$O$85,15,0)),0,VLOOKUP($U$44,'TAR FIN'!$A$1:$O$85,15,0))</f>
        <v>0</v>
      </c>
      <c r="Y44" s="6">
        <f ca="1">('TUSD BE'!$AM$10+'TUSD BF'!$AM$10+'TUSD CVA'!$AM$10)*1</f>
        <v>41.446726729867045</v>
      </c>
      <c r="Z44" s="6"/>
      <c r="AA44" s="6"/>
      <c r="AB44" s="6">
        <f>$K$44*$V$44</f>
        <v>429894.05</v>
      </c>
      <c r="AC44" s="6">
        <f>$M$44*$W$44</f>
        <v>0</v>
      </c>
      <c r="AD44" s="6">
        <f>$O$44*$X$44</f>
        <v>0</v>
      </c>
      <c r="AE44" s="6">
        <f ca="1">$K$44*$Y$44</f>
        <v>432993.95414692099</v>
      </c>
      <c r="AF44" s="6">
        <f>$M$44*$Z$44</f>
        <v>0</v>
      </c>
      <c r="AG44" s="6">
        <f>$O$44*$AA$44</f>
        <v>0</v>
      </c>
    </row>
    <row r="45" spans="1:33" ht="11.25" customHeight="1" x14ac:dyDescent="0.3">
      <c r="A45" s="4" t="s">
        <v>28</v>
      </c>
      <c r="B45" s="4" t="s">
        <v>35</v>
      </c>
      <c r="C45" s="4" t="s">
        <v>36</v>
      </c>
      <c r="D45" s="4" t="s">
        <v>34</v>
      </c>
      <c r="E45" s="4" t="s">
        <v>25</v>
      </c>
      <c r="F45" s="4" t="s">
        <v>25</v>
      </c>
      <c r="G45" s="4" t="s">
        <v>25</v>
      </c>
      <c r="H45" s="4" t="s">
        <v>25</v>
      </c>
      <c r="I45" s="5">
        <v>44713</v>
      </c>
      <c r="J45" s="6">
        <v>90</v>
      </c>
      <c r="K45" s="6">
        <v>90</v>
      </c>
      <c r="L45" s="6">
        <v>0</v>
      </c>
      <c r="M45" s="6">
        <v>0</v>
      </c>
      <c r="N45" s="6">
        <v>0</v>
      </c>
      <c r="O45" s="6">
        <v>0</v>
      </c>
      <c r="P45" s="6">
        <v>1</v>
      </c>
      <c r="Q45" s="4" t="s">
        <v>26</v>
      </c>
      <c r="R45" s="4">
        <v>0</v>
      </c>
      <c r="S45" s="6">
        <v>27</v>
      </c>
      <c r="T45" s="6">
        <v>0</v>
      </c>
      <c r="U45" s="6">
        <v>0</v>
      </c>
      <c r="V45" s="6">
        <f>IF(ISERROR(VLOOKUP($S$45,'TAR FIN'!$A$1:$O$85,15,0)),0,VLOOKUP($S$45,'TAR FIN'!$A$1:$O$85,15,0))</f>
        <v>41.15</v>
      </c>
      <c r="W45" s="6">
        <f>IF(ISERROR(VLOOKUP($T$45,'TAR FIN'!$A$1:$O$85,15,0)),0,VLOOKUP($T$45,'TAR FIN'!$A$1:$O$85,15,0))</f>
        <v>0</v>
      </c>
      <c r="X45" s="6">
        <f>IF(ISERROR(VLOOKUP($U$45,'TAR FIN'!$A$1:$O$85,15,0)),0,VLOOKUP($U$45,'TAR FIN'!$A$1:$O$85,15,0))</f>
        <v>0</v>
      </c>
      <c r="Y45" s="6">
        <f ca="1">('TUSD BE'!$AM$10+'TUSD BF'!$AM$10+'TUSD CVA'!$AM$10)*1</f>
        <v>41.446726729867045</v>
      </c>
      <c r="Z45" s="6"/>
      <c r="AA45" s="6"/>
      <c r="AB45" s="6">
        <f>$K$45*$V$45</f>
        <v>3703.5</v>
      </c>
      <c r="AC45" s="6">
        <f>$M$45*$W$45</f>
        <v>0</v>
      </c>
      <c r="AD45" s="6">
        <f>$O$45*$X$45</f>
        <v>0</v>
      </c>
      <c r="AE45" s="6">
        <f ca="1">$K$45*$Y$45</f>
        <v>3730.2054056880343</v>
      </c>
      <c r="AF45" s="6">
        <f>$M$45*$Z$45</f>
        <v>0</v>
      </c>
      <c r="AG45" s="6">
        <f>$O$45*$AA$45</f>
        <v>0</v>
      </c>
    </row>
    <row r="46" spans="1:33" ht="11.25" customHeight="1" x14ac:dyDescent="0.3">
      <c r="A46" s="4" t="s">
        <v>21</v>
      </c>
      <c r="B46" s="4" t="s">
        <v>35</v>
      </c>
      <c r="C46" s="4" t="s">
        <v>36</v>
      </c>
      <c r="D46" s="4" t="s">
        <v>34</v>
      </c>
      <c r="E46" s="4" t="s">
        <v>25</v>
      </c>
      <c r="F46" s="4" t="s">
        <v>25</v>
      </c>
      <c r="G46" s="4" t="s">
        <v>25</v>
      </c>
      <c r="H46" s="4" t="s">
        <v>25</v>
      </c>
      <c r="I46" s="5">
        <v>44743</v>
      </c>
      <c r="J46" s="6">
        <v>10435</v>
      </c>
      <c r="K46" s="6">
        <v>10435</v>
      </c>
      <c r="L46" s="6">
        <v>0</v>
      </c>
      <c r="M46" s="6">
        <v>0</v>
      </c>
      <c r="N46" s="6">
        <v>0</v>
      </c>
      <c r="O46" s="6">
        <v>0</v>
      </c>
      <c r="P46" s="6">
        <v>26</v>
      </c>
      <c r="Q46" s="4" t="s">
        <v>26</v>
      </c>
      <c r="R46" s="4">
        <v>0</v>
      </c>
      <c r="S46" s="6">
        <v>27</v>
      </c>
      <c r="T46" s="6">
        <v>0</v>
      </c>
      <c r="U46" s="6">
        <v>0</v>
      </c>
      <c r="V46" s="6">
        <f>IF(ISERROR(VLOOKUP($S$46,'TAR FIN'!$A$1:$O$85,15,0)),0,VLOOKUP($S$46,'TAR FIN'!$A$1:$O$85,15,0))</f>
        <v>41.15</v>
      </c>
      <c r="W46" s="6">
        <f>IF(ISERROR(VLOOKUP($T$46,'TAR FIN'!$A$1:$O$85,15,0)),0,VLOOKUP($T$46,'TAR FIN'!$A$1:$O$85,15,0))</f>
        <v>0</v>
      </c>
      <c r="X46" s="6">
        <f>IF(ISERROR(VLOOKUP($U$46,'TAR FIN'!$A$1:$O$85,15,0)),0,VLOOKUP($U$46,'TAR FIN'!$A$1:$O$85,15,0))</f>
        <v>0</v>
      </c>
      <c r="Y46" s="6">
        <f ca="1">('TUSD BE'!$AM$10+'TUSD BF'!$AM$10+'TUSD CVA'!$AM$10)*1</f>
        <v>41.446726729867045</v>
      </c>
      <c r="Z46" s="6"/>
      <c r="AA46" s="6"/>
      <c r="AB46" s="6">
        <f>$K$46*$V$46</f>
        <v>429400.25</v>
      </c>
      <c r="AC46" s="6">
        <f>$M$46*$W$46</f>
        <v>0</v>
      </c>
      <c r="AD46" s="6">
        <f>$O$46*$X$46</f>
        <v>0</v>
      </c>
      <c r="AE46" s="6">
        <f ca="1">$K$46*$Y$46</f>
        <v>432496.59342616261</v>
      </c>
      <c r="AF46" s="6">
        <f>$M$46*$Z$46</f>
        <v>0</v>
      </c>
      <c r="AG46" s="6">
        <f>$O$46*$AA$46</f>
        <v>0</v>
      </c>
    </row>
    <row r="47" spans="1:33" ht="11.25" customHeight="1" x14ac:dyDescent="0.3">
      <c r="A47" s="4" t="s">
        <v>28</v>
      </c>
      <c r="B47" s="4" t="s">
        <v>35</v>
      </c>
      <c r="C47" s="4" t="s">
        <v>36</v>
      </c>
      <c r="D47" s="4" t="s">
        <v>34</v>
      </c>
      <c r="E47" s="4" t="s">
        <v>25</v>
      </c>
      <c r="F47" s="4" t="s">
        <v>25</v>
      </c>
      <c r="G47" s="4" t="s">
        <v>25</v>
      </c>
      <c r="H47" s="4" t="s">
        <v>25</v>
      </c>
      <c r="I47" s="5">
        <v>44743</v>
      </c>
      <c r="J47" s="6">
        <v>74</v>
      </c>
      <c r="K47" s="6">
        <v>74</v>
      </c>
      <c r="L47" s="6">
        <v>0</v>
      </c>
      <c r="M47" s="6">
        <v>0</v>
      </c>
      <c r="N47" s="6">
        <v>0</v>
      </c>
      <c r="O47" s="6">
        <v>0</v>
      </c>
      <c r="P47" s="6">
        <v>1</v>
      </c>
      <c r="Q47" s="4" t="s">
        <v>26</v>
      </c>
      <c r="R47" s="4">
        <v>0</v>
      </c>
      <c r="S47" s="6">
        <v>27</v>
      </c>
      <c r="T47" s="6">
        <v>0</v>
      </c>
      <c r="U47" s="6">
        <v>0</v>
      </c>
      <c r="V47" s="6">
        <f>IF(ISERROR(VLOOKUP($S$47,'TAR FIN'!$A$1:$O$85,15,0)),0,VLOOKUP($S$47,'TAR FIN'!$A$1:$O$85,15,0))</f>
        <v>41.15</v>
      </c>
      <c r="W47" s="6">
        <f>IF(ISERROR(VLOOKUP($T$47,'TAR FIN'!$A$1:$O$85,15,0)),0,VLOOKUP($T$47,'TAR FIN'!$A$1:$O$85,15,0))</f>
        <v>0</v>
      </c>
      <c r="X47" s="6">
        <f>IF(ISERROR(VLOOKUP($U$47,'TAR FIN'!$A$1:$O$85,15,0)),0,VLOOKUP($U$47,'TAR FIN'!$A$1:$O$85,15,0))</f>
        <v>0</v>
      </c>
      <c r="Y47" s="6">
        <f ca="1">('TUSD BE'!$AM$10+'TUSD BF'!$AM$10+'TUSD CVA'!$AM$10)*1</f>
        <v>41.446726729867045</v>
      </c>
      <c r="Z47" s="6"/>
      <c r="AA47" s="6"/>
      <c r="AB47" s="6">
        <f>$K$47*$V$47</f>
        <v>3045.1</v>
      </c>
      <c r="AC47" s="6">
        <f>$M$47*$W$47</f>
        <v>0</v>
      </c>
      <c r="AD47" s="6">
        <f>$O$47*$X$47</f>
        <v>0</v>
      </c>
      <c r="AE47" s="6">
        <f ca="1">$K$47*$Y$47</f>
        <v>3067.0577780101612</v>
      </c>
      <c r="AF47" s="6">
        <f>$M$47*$Z$47</f>
        <v>0</v>
      </c>
      <c r="AG47" s="6">
        <f>$O$47*$AA$47</f>
        <v>0</v>
      </c>
    </row>
    <row r="48" spans="1:33" ht="11.25" customHeight="1" x14ac:dyDescent="0.3">
      <c r="A48" s="4" t="s">
        <v>52</v>
      </c>
      <c r="B48" s="4" t="s">
        <v>35</v>
      </c>
      <c r="C48" s="4" t="s">
        <v>36</v>
      </c>
      <c r="D48" s="4" t="s">
        <v>34</v>
      </c>
      <c r="E48" s="4" t="s">
        <v>25</v>
      </c>
      <c r="F48" s="4" t="s">
        <v>25</v>
      </c>
      <c r="G48" s="4" t="s">
        <v>25</v>
      </c>
      <c r="H48" s="4" t="s">
        <v>25</v>
      </c>
      <c r="I48" s="5">
        <v>44774</v>
      </c>
      <c r="J48" s="6">
        <v>10435</v>
      </c>
      <c r="K48" s="6">
        <v>10435</v>
      </c>
      <c r="L48" s="6">
        <v>0</v>
      </c>
      <c r="M48" s="6">
        <v>0</v>
      </c>
      <c r="N48" s="6">
        <v>0</v>
      </c>
      <c r="O48" s="6">
        <v>0</v>
      </c>
      <c r="P48" s="6">
        <v>26</v>
      </c>
      <c r="Q48" s="4" t="s">
        <v>26</v>
      </c>
      <c r="R48" s="4">
        <v>0</v>
      </c>
      <c r="S48" s="6">
        <v>27</v>
      </c>
      <c r="T48" s="6">
        <v>0</v>
      </c>
      <c r="U48" s="6">
        <v>0</v>
      </c>
      <c r="V48" s="6">
        <f>IF(ISERROR(VLOOKUP($S$48,'TAR FIN'!$A$1:$O$85,15,0)),0,VLOOKUP($S$48,'TAR FIN'!$A$1:$O$85,15,0))</f>
        <v>41.15</v>
      </c>
      <c r="W48" s="6">
        <f>IF(ISERROR(VLOOKUP($T$48,'TAR FIN'!$A$1:$O$85,15,0)),0,VLOOKUP($T$48,'TAR FIN'!$A$1:$O$85,15,0))</f>
        <v>0</v>
      </c>
      <c r="X48" s="6">
        <f>IF(ISERROR(VLOOKUP($U$48,'TAR FIN'!$A$1:$O$85,15,0)),0,VLOOKUP($U$48,'TAR FIN'!$A$1:$O$85,15,0))</f>
        <v>0</v>
      </c>
      <c r="Y48" s="6">
        <f ca="1">('TUSD BE'!$AM$10+'TUSD BF'!$AM$10+'TUSD CVA'!$AM$10)*1</f>
        <v>41.446726729867045</v>
      </c>
      <c r="Z48" s="6"/>
      <c r="AA48" s="6"/>
      <c r="AB48" s="6">
        <f>$K$48*$V$48</f>
        <v>429400.25</v>
      </c>
      <c r="AC48" s="6">
        <f>$M$48*$W$48</f>
        <v>0</v>
      </c>
      <c r="AD48" s="6">
        <f>$O$48*$X$48</f>
        <v>0</v>
      </c>
      <c r="AE48" s="6">
        <f ca="1">$K$48*$Y$48</f>
        <v>432496.59342616261</v>
      </c>
      <c r="AF48" s="6">
        <f>$M$48*$Z$48</f>
        <v>0</v>
      </c>
      <c r="AG48" s="6">
        <f>$O$48*$AA$48</f>
        <v>0</v>
      </c>
    </row>
    <row r="49" spans="1:33" ht="11.25" customHeight="1" x14ac:dyDescent="0.3">
      <c r="A49" s="4" t="s">
        <v>52</v>
      </c>
      <c r="B49" s="4" t="s">
        <v>35</v>
      </c>
      <c r="C49" s="4" t="s">
        <v>36</v>
      </c>
      <c r="D49" s="4" t="s">
        <v>34</v>
      </c>
      <c r="E49" s="4" t="s">
        <v>25</v>
      </c>
      <c r="F49" s="4" t="s">
        <v>25</v>
      </c>
      <c r="G49" s="4" t="s">
        <v>25</v>
      </c>
      <c r="H49" s="4" t="s">
        <v>25</v>
      </c>
      <c r="I49" s="5">
        <v>44774</v>
      </c>
      <c r="J49" s="6">
        <v>74</v>
      </c>
      <c r="K49" s="6">
        <v>74</v>
      </c>
      <c r="L49" s="6">
        <v>0</v>
      </c>
      <c r="M49" s="6">
        <v>0</v>
      </c>
      <c r="N49" s="6">
        <v>0</v>
      </c>
      <c r="O49" s="6">
        <v>0</v>
      </c>
      <c r="P49" s="6">
        <v>1</v>
      </c>
      <c r="Q49" s="4" t="s">
        <v>26</v>
      </c>
      <c r="R49" s="4">
        <v>0</v>
      </c>
      <c r="S49" s="6">
        <v>27</v>
      </c>
      <c r="T49" s="6">
        <v>0</v>
      </c>
      <c r="U49" s="6">
        <v>0</v>
      </c>
      <c r="V49" s="6">
        <f>IF(ISERROR(VLOOKUP($S$49,'TAR FIN'!$A$1:$O$85,15,0)),0,VLOOKUP($S$49,'TAR FIN'!$A$1:$O$85,15,0))</f>
        <v>41.15</v>
      </c>
      <c r="W49" s="6">
        <f>IF(ISERROR(VLOOKUP($T$49,'TAR FIN'!$A$1:$O$85,15,0)),0,VLOOKUP($T$49,'TAR FIN'!$A$1:$O$85,15,0))</f>
        <v>0</v>
      </c>
      <c r="X49" s="6">
        <f>IF(ISERROR(VLOOKUP($U$49,'TAR FIN'!$A$1:$O$85,15,0)),0,VLOOKUP($U$49,'TAR FIN'!$A$1:$O$85,15,0))</f>
        <v>0</v>
      </c>
      <c r="Y49" s="6">
        <f ca="1">('TUSD BE'!$AM$10+'TUSD BF'!$AM$10+'TUSD CVA'!$AM$10)*1</f>
        <v>41.446726729867045</v>
      </c>
      <c r="Z49" s="6"/>
      <c r="AA49" s="6"/>
      <c r="AB49" s="6">
        <f>$K$49*$V$49</f>
        <v>3045.1</v>
      </c>
      <c r="AC49" s="6">
        <f>$M$49*$W$49</f>
        <v>0</v>
      </c>
      <c r="AD49" s="6">
        <f>$O$49*$X$49</f>
        <v>0</v>
      </c>
      <c r="AE49" s="6">
        <f ca="1">$K$49*$Y$49</f>
        <v>3067.0577780101612</v>
      </c>
      <c r="AF49" s="6">
        <f>$M$49*$Z$49</f>
        <v>0</v>
      </c>
      <c r="AG49" s="6">
        <f>$O$49*$AA$49</f>
        <v>0</v>
      </c>
    </row>
    <row r="50" spans="1:33" ht="11.25" customHeight="1" x14ac:dyDescent="0.3">
      <c r="A50" s="4" t="s">
        <v>21</v>
      </c>
      <c r="B50" s="4" t="s">
        <v>35</v>
      </c>
      <c r="C50" s="4" t="s">
        <v>36</v>
      </c>
      <c r="D50" s="4" t="s">
        <v>34</v>
      </c>
      <c r="E50" s="4" t="s">
        <v>25</v>
      </c>
      <c r="F50" s="4" t="s">
        <v>25</v>
      </c>
      <c r="G50" s="4" t="s">
        <v>25</v>
      </c>
      <c r="H50" s="4" t="s">
        <v>37</v>
      </c>
      <c r="I50" s="5">
        <v>44440</v>
      </c>
      <c r="J50" s="6">
        <v>0</v>
      </c>
      <c r="K50" s="6">
        <v>0</v>
      </c>
      <c r="L50" s="6">
        <v>102.54600000000001</v>
      </c>
      <c r="M50" s="6">
        <v>102.54600000000001</v>
      </c>
      <c r="N50" s="6">
        <v>102.54600000000001</v>
      </c>
      <c r="O50" s="6">
        <v>102.54600000000001</v>
      </c>
      <c r="P50" s="6">
        <v>0</v>
      </c>
      <c r="Q50" s="4" t="s">
        <v>26</v>
      </c>
      <c r="R50" s="4">
        <v>0</v>
      </c>
      <c r="S50" s="6">
        <v>0</v>
      </c>
      <c r="T50" s="6">
        <v>32</v>
      </c>
      <c r="U50" s="6">
        <v>34</v>
      </c>
      <c r="V50" s="6">
        <f>IF(ISERROR(VLOOKUP($S$50,'TAR FIN'!$A$1:$O$85,15,0)),0,VLOOKUP($S$50,'TAR FIN'!$A$1:$O$85,15,0))</f>
        <v>0</v>
      </c>
      <c r="W50" s="6">
        <f>IF(ISERROR(VLOOKUP($T$50,'TAR FIN'!$A$1:$O$85,15,0)),0,VLOOKUP($T$50,'TAR FIN'!$A$1:$O$85,15,0))</f>
        <v>2859.84</v>
      </c>
      <c r="X50" s="6">
        <f>IF(ISERROR(VLOOKUP($U$50,'TAR FIN'!$A$1:$O$85,15,0)),0,VLOOKUP($U$50,'TAR FIN'!$A$1:$O$85,15,0))</f>
        <v>119.97</v>
      </c>
      <c r="Y50" s="6"/>
      <c r="Z50" s="6">
        <f ca="1">('TUSD BE'!$AM$11+'TUSD BF'!$AM$11+'TUSD CVA'!$AM$11)*1</f>
        <v>2926.3194707169641</v>
      </c>
      <c r="AA50" s="6">
        <f>('TE BE'!$AB$5+'TE BF'!$AB$5+'TE CVA'!$AB$5)*1</f>
        <v>122.58638016056723</v>
      </c>
      <c r="AB50" s="6">
        <f>$K$50*$V$50</f>
        <v>0</v>
      </c>
      <c r="AC50" s="6">
        <f>$M$50*$W$50</f>
        <v>293265.15264000004</v>
      </c>
      <c r="AD50" s="6">
        <f>$O$50*$X$50</f>
        <v>12302.44362</v>
      </c>
      <c r="AE50" s="6">
        <f>$K$50*$Y$50</f>
        <v>0</v>
      </c>
      <c r="AF50" s="6">
        <f ca="1">$M$50*$Z$50</f>
        <v>300082.35644414183</v>
      </c>
      <c r="AG50" s="6">
        <f>$O$50*$AA$50</f>
        <v>12570.742939945529</v>
      </c>
    </row>
    <row r="51" spans="1:33" ht="11.25" customHeight="1" x14ac:dyDescent="0.3">
      <c r="A51" s="4" t="s">
        <v>21</v>
      </c>
      <c r="B51" s="4" t="s">
        <v>35</v>
      </c>
      <c r="C51" s="4" t="s">
        <v>36</v>
      </c>
      <c r="D51" s="4" t="s">
        <v>34</v>
      </c>
      <c r="E51" s="4" t="s">
        <v>25</v>
      </c>
      <c r="F51" s="4" t="s">
        <v>25</v>
      </c>
      <c r="G51" s="4" t="s">
        <v>25</v>
      </c>
      <c r="H51" s="4" t="s">
        <v>37</v>
      </c>
      <c r="I51" s="5">
        <v>44470</v>
      </c>
      <c r="J51" s="6">
        <v>0</v>
      </c>
      <c r="K51" s="6">
        <v>0</v>
      </c>
      <c r="L51" s="6">
        <v>89.47</v>
      </c>
      <c r="M51" s="6">
        <v>89.47</v>
      </c>
      <c r="N51" s="6">
        <v>89.47</v>
      </c>
      <c r="O51" s="6">
        <v>89.47</v>
      </c>
      <c r="P51" s="6">
        <v>0</v>
      </c>
      <c r="Q51" s="4" t="s">
        <v>26</v>
      </c>
      <c r="R51" s="4">
        <v>0</v>
      </c>
      <c r="S51" s="6">
        <v>0</v>
      </c>
      <c r="T51" s="6">
        <v>32</v>
      </c>
      <c r="U51" s="6">
        <v>34</v>
      </c>
      <c r="V51" s="6">
        <f>IF(ISERROR(VLOOKUP($S$51,'TAR FIN'!$A$1:$O$85,15,0)),0,VLOOKUP($S$51,'TAR FIN'!$A$1:$O$85,15,0))</f>
        <v>0</v>
      </c>
      <c r="W51" s="6">
        <f>IF(ISERROR(VLOOKUP($T$51,'TAR FIN'!$A$1:$O$85,15,0)),0,VLOOKUP($T$51,'TAR FIN'!$A$1:$O$85,15,0))</f>
        <v>2859.84</v>
      </c>
      <c r="X51" s="6">
        <f>IF(ISERROR(VLOOKUP($U$51,'TAR FIN'!$A$1:$O$85,15,0)),0,VLOOKUP($U$51,'TAR FIN'!$A$1:$O$85,15,0))</f>
        <v>119.97</v>
      </c>
      <c r="Y51" s="6"/>
      <c r="Z51" s="6">
        <f ca="1">('TUSD BE'!$AM$11+'TUSD BF'!$AM$11+'TUSD CVA'!$AM$11)*1</f>
        <v>2926.3194707169641</v>
      </c>
      <c r="AA51" s="6">
        <f>('TE BE'!$AB$5+'TE BF'!$AB$5+'TE CVA'!$AB$5)*1</f>
        <v>122.58638016056723</v>
      </c>
      <c r="AB51" s="6">
        <f>$K$51*$V$51</f>
        <v>0</v>
      </c>
      <c r="AC51" s="6">
        <f>$M$51*$W$51</f>
        <v>255869.8848</v>
      </c>
      <c r="AD51" s="6">
        <f>$O$51*$X$51</f>
        <v>10733.715899999999</v>
      </c>
      <c r="AE51" s="6">
        <f>$K$51*$Y$51</f>
        <v>0</v>
      </c>
      <c r="AF51" s="6">
        <f ca="1">$M$51*$Z$51</f>
        <v>261817.80304504678</v>
      </c>
      <c r="AG51" s="6">
        <f>$O$51*$AA$51</f>
        <v>10967.803432965949</v>
      </c>
    </row>
    <row r="52" spans="1:33" ht="11.25" customHeight="1" x14ac:dyDescent="0.3">
      <c r="A52" s="4" t="s">
        <v>21</v>
      </c>
      <c r="B52" s="4" t="s">
        <v>35</v>
      </c>
      <c r="C52" s="4" t="s">
        <v>36</v>
      </c>
      <c r="D52" s="4" t="s">
        <v>34</v>
      </c>
      <c r="E52" s="4" t="s">
        <v>25</v>
      </c>
      <c r="F52" s="4" t="s">
        <v>25</v>
      </c>
      <c r="G52" s="4" t="s">
        <v>25</v>
      </c>
      <c r="H52" s="4" t="s">
        <v>37</v>
      </c>
      <c r="I52" s="5">
        <v>44501</v>
      </c>
      <c r="J52" s="6">
        <v>0</v>
      </c>
      <c r="K52" s="6">
        <v>0</v>
      </c>
      <c r="L52" s="6">
        <v>90.867000000000004</v>
      </c>
      <c r="M52" s="6">
        <v>90.867000000000004</v>
      </c>
      <c r="N52" s="6">
        <v>90.867000000000004</v>
      </c>
      <c r="O52" s="6">
        <v>90.867000000000004</v>
      </c>
      <c r="P52" s="6">
        <v>0</v>
      </c>
      <c r="Q52" s="4" t="s">
        <v>26</v>
      </c>
      <c r="R52" s="4">
        <v>0</v>
      </c>
      <c r="S52" s="6">
        <v>0</v>
      </c>
      <c r="T52" s="6">
        <v>32</v>
      </c>
      <c r="U52" s="6">
        <v>34</v>
      </c>
      <c r="V52" s="6">
        <f>IF(ISERROR(VLOOKUP($S$52,'TAR FIN'!$A$1:$O$85,15,0)),0,VLOOKUP($S$52,'TAR FIN'!$A$1:$O$85,15,0))</f>
        <v>0</v>
      </c>
      <c r="W52" s="6">
        <f>IF(ISERROR(VLOOKUP($T$52,'TAR FIN'!$A$1:$O$85,15,0)),0,VLOOKUP($T$52,'TAR FIN'!$A$1:$O$85,15,0))</f>
        <v>2859.84</v>
      </c>
      <c r="X52" s="6">
        <f>IF(ISERROR(VLOOKUP($U$52,'TAR FIN'!$A$1:$O$85,15,0)),0,VLOOKUP($U$52,'TAR FIN'!$A$1:$O$85,15,0))</f>
        <v>119.97</v>
      </c>
      <c r="Y52" s="6"/>
      <c r="Z52" s="6">
        <f ca="1">('TUSD BE'!$AM$11+'TUSD BF'!$AM$11+'TUSD CVA'!$AM$11)*1</f>
        <v>2926.3194707169641</v>
      </c>
      <c r="AA52" s="6">
        <f>('TE BE'!$AB$5+'TE BF'!$AB$5+'TE CVA'!$AB$5)*1</f>
        <v>122.58638016056723</v>
      </c>
      <c r="AB52" s="6">
        <f>$K$52*$V$52</f>
        <v>0</v>
      </c>
      <c r="AC52" s="6">
        <f>$M$52*$W$52</f>
        <v>259865.08128000001</v>
      </c>
      <c r="AD52" s="6">
        <f>$O$52*$X$52</f>
        <v>10901.313990000001</v>
      </c>
      <c r="AE52" s="6">
        <f>$K$52*$Y$52</f>
        <v>0</v>
      </c>
      <c r="AF52" s="6">
        <f ca="1">$M$52*$Z$52</f>
        <v>265905.87134563841</v>
      </c>
      <c r="AG52" s="6">
        <f>$O$52*$AA$52</f>
        <v>11139.056606050262</v>
      </c>
    </row>
    <row r="53" spans="1:33" ht="11.25" customHeight="1" x14ac:dyDescent="0.3">
      <c r="A53" s="4" t="s">
        <v>21</v>
      </c>
      <c r="B53" s="4" t="s">
        <v>35</v>
      </c>
      <c r="C53" s="4" t="s">
        <v>36</v>
      </c>
      <c r="D53" s="4" t="s">
        <v>34</v>
      </c>
      <c r="E53" s="4" t="s">
        <v>25</v>
      </c>
      <c r="F53" s="4" t="s">
        <v>25</v>
      </c>
      <c r="G53" s="4" t="s">
        <v>25</v>
      </c>
      <c r="H53" s="4" t="s">
        <v>37</v>
      </c>
      <c r="I53" s="5">
        <v>44531</v>
      </c>
      <c r="J53" s="6">
        <v>0</v>
      </c>
      <c r="K53" s="6">
        <v>0</v>
      </c>
      <c r="L53" s="6">
        <v>92.667000000000002</v>
      </c>
      <c r="M53" s="6">
        <v>92.667000000000002</v>
      </c>
      <c r="N53" s="6">
        <v>92.667000000000002</v>
      </c>
      <c r="O53" s="6">
        <v>92.667000000000002</v>
      </c>
      <c r="P53" s="6">
        <v>0</v>
      </c>
      <c r="Q53" s="4" t="s">
        <v>26</v>
      </c>
      <c r="R53" s="4">
        <v>0</v>
      </c>
      <c r="S53" s="6">
        <v>0</v>
      </c>
      <c r="T53" s="6">
        <v>32</v>
      </c>
      <c r="U53" s="6">
        <v>34</v>
      </c>
      <c r="V53" s="6">
        <f>IF(ISERROR(VLOOKUP($S$53,'TAR FIN'!$A$1:$O$85,15,0)),0,VLOOKUP($S$53,'TAR FIN'!$A$1:$O$85,15,0))</f>
        <v>0</v>
      </c>
      <c r="W53" s="6">
        <f>IF(ISERROR(VLOOKUP($T$53,'TAR FIN'!$A$1:$O$85,15,0)),0,VLOOKUP($T$53,'TAR FIN'!$A$1:$O$85,15,0))</f>
        <v>2859.84</v>
      </c>
      <c r="X53" s="6">
        <f>IF(ISERROR(VLOOKUP($U$53,'TAR FIN'!$A$1:$O$85,15,0)),0,VLOOKUP($U$53,'TAR FIN'!$A$1:$O$85,15,0))</f>
        <v>119.97</v>
      </c>
      <c r="Y53" s="6"/>
      <c r="Z53" s="6">
        <f ca="1">('TUSD BE'!$AM$11+'TUSD BF'!$AM$11+'TUSD CVA'!$AM$11)*1</f>
        <v>2926.3194707169641</v>
      </c>
      <c r="AA53" s="6">
        <f>('TE BE'!$AB$5+'TE BF'!$AB$5+'TE CVA'!$AB$5)*1</f>
        <v>122.58638016056723</v>
      </c>
      <c r="AB53" s="6">
        <f>$K$53*$V$53</f>
        <v>0</v>
      </c>
      <c r="AC53" s="6">
        <f>$M$53*$W$53</f>
        <v>265012.79328000004</v>
      </c>
      <c r="AD53" s="6">
        <f>$O$53*$X$53</f>
        <v>11117.25999</v>
      </c>
      <c r="AE53" s="6">
        <f>$K$53*$Y$53</f>
        <v>0</v>
      </c>
      <c r="AF53" s="6">
        <f ca="1">$M$53*$Z$53</f>
        <v>271173.24639292894</v>
      </c>
      <c r="AG53" s="6">
        <f>$O$53*$AA$53</f>
        <v>11359.712090339284</v>
      </c>
    </row>
    <row r="54" spans="1:33" ht="11.25" customHeight="1" x14ac:dyDescent="0.3">
      <c r="A54" s="4" t="s">
        <v>28</v>
      </c>
      <c r="B54" s="4" t="s">
        <v>35</v>
      </c>
      <c r="C54" s="4" t="s">
        <v>36</v>
      </c>
      <c r="D54" s="4" t="s">
        <v>34</v>
      </c>
      <c r="E54" s="4" t="s">
        <v>25</v>
      </c>
      <c r="F54" s="4" t="s">
        <v>25</v>
      </c>
      <c r="G54" s="4" t="s">
        <v>25</v>
      </c>
      <c r="H54" s="4" t="s">
        <v>37</v>
      </c>
      <c r="I54" s="5">
        <v>44531</v>
      </c>
      <c r="J54" s="6">
        <v>0</v>
      </c>
      <c r="K54" s="6">
        <v>0</v>
      </c>
      <c r="L54" s="6">
        <v>1.762</v>
      </c>
      <c r="M54" s="6">
        <v>1.762</v>
      </c>
      <c r="N54" s="6">
        <v>1.762</v>
      </c>
      <c r="O54" s="6">
        <v>1.762</v>
      </c>
      <c r="P54" s="6">
        <v>0</v>
      </c>
      <c r="Q54" s="4" t="s">
        <v>26</v>
      </c>
      <c r="R54" s="4">
        <v>0</v>
      </c>
      <c r="S54" s="6">
        <v>0</v>
      </c>
      <c r="T54" s="6">
        <v>32</v>
      </c>
      <c r="U54" s="6">
        <v>34</v>
      </c>
      <c r="V54" s="6">
        <f>IF(ISERROR(VLOOKUP($S$54,'TAR FIN'!$A$1:$O$85,15,0)),0,VLOOKUP($S$54,'TAR FIN'!$A$1:$O$85,15,0))</f>
        <v>0</v>
      </c>
      <c r="W54" s="6">
        <f>IF(ISERROR(VLOOKUP($T$54,'TAR FIN'!$A$1:$O$85,15,0)),0,VLOOKUP($T$54,'TAR FIN'!$A$1:$O$85,15,0))</f>
        <v>2859.84</v>
      </c>
      <c r="X54" s="6">
        <f>IF(ISERROR(VLOOKUP($U$54,'TAR FIN'!$A$1:$O$85,15,0)),0,VLOOKUP($U$54,'TAR FIN'!$A$1:$O$85,15,0))</f>
        <v>119.97</v>
      </c>
      <c r="Y54" s="6"/>
      <c r="Z54" s="6">
        <f ca="1">('TUSD BE'!$AM$11+'TUSD BF'!$AM$11+'TUSD CVA'!$AM$11)*1</f>
        <v>2926.3194707169641</v>
      </c>
      <c r="AA54" s="6">
        <f>('TE BE'!$AB$5+'TE BF'!$AB$5+'TE CVA'!$AB$5)*1</f>
        <v>122.58638016056723</v>
      </c>
      <c r="AB54" s="6">
        <f>$K$54*$V$54</f>
        <v>0</v>
      </c>
      <c r="AC54" s="6">
        <f>$M$54*$W$54</f>
        <v>5039.0380800000003</v>
      </c>
      <c r="AD54" s="6">
        <f>$O$54*$X$54</f>
        <v>211.38713999999999</v>
      </c>
      <c r="AE54" s="6">
        <f>$K$54*$Y$54</f>
        <v>0</v>
      </c>
      <c r="AF54" s="6">
        <f ca="1">$M$54*$Z$54</f>
        <v>5156.1749074032905</v>
      </c>
      <c r="AG54" s="6">
        <f>$O$54*$AA$54</f>
        <v>215.99720184291945</v>
      </c>
    </row>
    <row r="55" spans="1:33" ht="11.25" customHeight="1" x14ac:dyDescent="0.3">
      <c r="A55" s="4" t="s">
        <v>21</v>
      </c>
      <c r="B55" s="4" t="s">
        <v>35</v>
      </c>
      <c r="C55" s="4" t="s">
        <v>36</v>
      </c>
      <c r="D55" s="4" t="s">
        <v>34</v>
      </c>
      <c r="E55" s="4" t="s">
        <v>25</v>
      </c>
      <c r="F55" s="4" t="s">
        <v>25</v>
      </c>
      <c r="G55" s="4" t="s">
        <v>25</v>
      </c>
      <c r="H55" s="4" t="s">
        <v>37</v>
      </c>
      <c r="I55" s="5">
        <v>44562</v>
      </c>
      <c r="J55" s="6">
        <v>0</v>
      </c>
      <c r="K55" s="6">
        <v>0</v>
      </c>
      <c r="L55" s="6">
        <v>91.927000000000007</v>
      </c>
      <c r="M55" s="6">
        <v>91.927000000000007</v>
      </c>
      <c r="N55" s="6">
        <v>91.927000000000007</v>
      </c>
      <c r="O55" s="6">
        <v>91.927000000000007</v>
      </c>
      <c r="P55" s="6">
        <v>0</v>
      </c>
      <c r="Q55" s="4" t="s">
        <v>26</v>
      </c>
      <c r="R55" s="4">
        <v>0</v>
      </c>
      <c r="S55" s="6">
        <v>0</v>
      </c>
      <c r="T55" s="6">
        <v>32</v>
      </c>
      <c r="U55" s="6">
        <v>34</v>
      </c>
      <c r="V55" s="6">
        <f>IF(ISERROR(VLOOKUP($S$55,'TAR FIN'!$A$1:$O$85,15,0)),0,VLOOKUP($S$55,'TAR FIN'!$A$1:$O$85,15,0))</f>
        <v>0</v>
      </c>
      <c r="W55" s="6">
        <f>IF(ISERROR(VLOOKUP($T$55,'TAR FIN'!$A$1:$O$85,15,0)),0,VLOOKUP($T$55,'TAR FIN'!$A$1:$O$85,15,0))</f>
        <v>2859.84</v>
      </c>
      <c r="X55" s="6">
        <f>IF(ISERROR(VLOOKUP($U$55,'TAR FIN'!$A$1:$O$85,15,0)),0,VLOOKUP($U$55,'TAR FIN'!$A$1:$O$85,15,0))</f>
        <v>119.97</v>
      </c>
      <c r="Y55" s="6"/>
      <c r="Z55" s="6">
        <f ca="1">('TUSD BE'!$AM$11+'TUSD BF'!$AM$11+'TUSD CVA'!$AM$11)*1</f>
        <v>2926.3194707169641</v>
      </c>
      <c r="AA55" s="6">
        <f>('TE BE'!$AB$5+'TE BF'!$AB$5+'TE CVA'!$AB$5)*1</f>
        <v>122.58638016056723</v>
      </c>
      <c r="AB55" s="6">
        <f>$K$55*$V$55</f>
        <v>0</v>
      </c>
      <c r="AC55" s="6">
        <f>$M$55*$W$55</f>
        <v>262896.51168000005</v>
      </c>
      <c r="AD55" s="6">
        <f>$O$55*$X$55</f>
        <v>11028.482190000001</v>
      </c>
      <c r="AE55" s="6">
        <f>$K$55*$Y$55</f>
        <v>0</v>
      </c>
      <c r="AF55" s="6">
        <f ca="1">$M$55*$Z$55</f>
        <v>269007.76998459839</v>
      </c>
      <c r="AG55" s="6">
        <f>$O$55*$AA$55</f>
        <v>11268.998169020464</v>
      </c>
    </row>
    <row r="56" spans="1:33" ht="11.25" customHeight="1" x14ac:dyDescent="0.3">
      <c r="A56" s="4" t="s">
        <v>28</v>
      </c>
      <c r="B56" s="4" t="s">
        <v>35</v>
      </c>
      <c r="C56" s="4" t="s">
        <v>36</v>
      </c>
      <c r="D56" s="4" t="s">
        <v>34</v>
      </c>
      <c r="E56" s="4" t="s">
        <v>25</v>
      </c>
      <c r="F56" s="4" t="s">
        <v>25</v>
      </c>
      <c r="G56" s="4" t="s">
        <v>25</v>
      </c>
      <c r="H56" s="4" t="s">
        <v>37</v>
      </c>
      <c r="I56" s="5">
        <v>44562</v>
      </c>
      <c r="J56" s="6">
        <v>0</v>
      </c>
      <c r="K56" s="6">
        <v>0</v>
      </c>
      <c r="L56" s="6">
        <v>2.1549999999999998</v>
      </c>
      <c r="M56" s="6">
        <v>2.1549999999999998</v>
      </c>
      <c r="N56" s="6">
        <v>2.1549999999999998</v>
      </c>
      <c r="O56" s="6">
        <v>2.1549999999999998</v>
      </c>
      <c r="P56" s="6">
        <v>0</v>
      </c>
      <c r="Q56" s="4" t="s">
        <v>26</v>
      </c>
      <c r="R56" s="4">
        <v>0</v>
      </c>
      <c r="S56" s="6">
        <v>0</v>
      </c>
      <c r="T56" s="6">
        <v>32</v>
      </c>
      <c r="U56" s="6">
        <v>34</v>
      </c>
      <c r="V56" s="6">
        <f>IF(ISERROR(VLOOKUP($S$56,'TAR FIN'!$A$1:$O$85,15,0)),0,VLOOKUP($S$56,'TAR FIN'!$A$1:$O$85,15,0))</f>
        <v>0</v>
      </c>
      <c r="W56" s="6">
        <f>IF(ISERROR(VLOOKUP($T$56,'TAR FIN'!$A$1:$O$85,15,0)),0,VLOOKUP($T$56,'TAR FIN'!$A$1:$O$85,15,0))</f>
        <v>2859.84</v>
      </c>
      <c r="X56" s="6">
        <f>IF(ISERROR(VLOOKUP($U$56,'TAR FIN'!$A$1:$O$85,15,0)),0,VLOOKUP($U$56,'TAR FIN'!$A$1:$O$85,15,0))</f>
        <v>119.97</v>
      </c>
      <c r="Y56" s="6"/>
      <c r="Z56" s="6">
        <f ca="1">('TUSD BE'!$AM$11+'TUSD BF'!$AM$11+'TUSD CVA'!$AM$11)*1</f>
        <v>2926.3194707169641</v>
      </c>
      <c r="AA56" s="6">
        <f>('TE BE'!$AB$5+'TE BF'!$AB$5+'TE CVA'!$AB$5)*1</f>
        <v>122.58638016056723</v>
      </c>
      <c r="AB56" s="6">
        <f>$K$56*$V$56</f>
        <v>0</v>
      </c>
      <c r="AC56" s="6">
        <f>$M$56*$W$56</f>
        <v>6162.9551999999994</v>
      </c>
      <c r="AD56" s="6">
        <f>$O$56*$X$56</f>
        <v>258.53534999999999</v>
      </c>
      <c r="AE56" s="6">
        <f>$K$56*$Y$56</f>
        <v>0</v>
      </c>
      <c r="AF56" s="6">
        <f ca="1">$M$56*$Z$56</f>
        <v>6306.2184593950569</v>
      </c>
      <c r="AG56" s="6">
        <f>$O$56*$AA$56</f>
        <v>264.17364924602236</v>
      </c>
    </row>
    <row r="57" spans="1:33" ht="11.25" customHeight="1" x14ac:dyDescent="0.3">
      <c r="A57" s="4" t="s">
        <v>21</v>
      </c>
      <c r="B57" s="4" t="s">
        <v>35</v>
      </c>
      <c r="C57" s="4" t="s">
        <v>36</v>
      </c>
      <c r="D57" s="4" t="s">
        <v>34</v>
      </c>
      <c r="E57" s="4" t="s">
        <v>25</v>
      </c>
      <c r="F57" s="4" t="s">
        <v>25</v>
      </c>
      <c r="G57" s="4" t="s">
        <v>25</v>
      </c>
      <c r="H57" s="4" t="s">
        <v>37</v>
      </c>
      <c r="I57" s="5">
        <v>44593</v>
      </c>
      <c r="J57" s="6">
        <v>0</v>
      </c>
      <c r="K57" s="6">
        <v>0</v>
      </c>
      <c r="L57" s="6">
        <v>93.611999999999995</v>
      </c>
      <c r="M57" s="6">
        <v>93.611999999999995</v>
      </c>
      <c r="N57" s="6">
        <v>93.611999999999995</v>
      </c>
      <c r="O57" s="6">
        <v>93.611999999999995</v>
      </c>
      <c r="P57" s="6">
        <v>0</v>
      </c>
      <c r="Q57" s="4" t="s">
        <v>26</v>
      </c>
      <c r="R57" s="4">
        <v>0</v>
      </c>
      <c r="S57" s="6">
        <v>0</v>
      </c>
      <c r="T57" s="6">
        <v>32</v>
      </c>
      <c r="U57" s="6">
        <v>34</v>
      </c>
      <c r="V57" s="6">
        <f>IF(ISERROR(VLOOKUP($S$57,'TAR FIN'!$A$1:$O$85,15,0)),0,VLOOKUP($S$57,'TAR FIN'!$A$1:$O$85,15,0))</f>
        <v>0</v>
      </c>
      <c r="W57" s="6">
        <f>IF(ISERROR(VLOOKUP($T$57,'TAR FIN'!$A$1:$O$85,15,0)),0,VLOOKUP($T$57,'TAR FIN'!$A$1:$O$85,15,0))</f>
        <v>2859.84</v>
      </c>
      <c r="X57" s="6">
        <f>IF(ISERROR(VLOOKUP($U$57,'TAR FIN'!$A$1:$O$85,15,0)),0,VLOOKUP($U$57,'TAR FIN'!$A$1:$O$85,15,0))</f>
        <v>119.97</v>
      </c>
      <c r="Y57" s="6"/>
      <c r="Z57" s="6">
        <f ca="1">('TUSD BE'!$AM$11+'TUSD BF'!$AM$11+'TUSD CVA'!$AM$11)*1</f>
        <v>2926.3194707169641</v>
      </c>
      <c r="AA57" s="6">
        <f>('TE BE'!$AB$5+'TE BF'!$AB$5+'TE CVA'!$AB$5)*1</f>
        <v>122.58638016056723</v>
      </c>
      <c r="AB57" s="6">
        <f>$K$57*$V$57</f>
        <v>0</v>
      </c>
      <c r="AC57" s="6">
        <f>$M$57*$W$57</f>
        <v>267715.34207999997</v>
      </c>
      <c r="AD57" s="6">
        <f>$O$57*$X$57</f>
        <v>11230.63164</v>
      </c>
      <c r="AE57" s="6">
        <f>$K$57*$Y$57</f>
        <v>0</v>
      </c>
      <c r="AF57" s="6">
        <f ca="1">$M$57*$Z$57</f>
        <v>273938.61829275644</v>
      </c>
      <c r="AG57" s="6">
        <f>$O$57*$AA$57</f>
        <v>11475.556219591019</v>
      </c>
    </row>
    <row r="58" spans="1:33" ht="11.25" customHeight="1" x14ac:dyDescent="0.3">
      <c r="A58" s="4" t="s">
        <v>28</v>
      </c>
      <c r="B58" s="4" t="s">
        <v>35</v>
      </c>
      <c r="C58" s="4" t="s">
        <v>36</v>
      </c>
      <c r="D58" s="4" t="s">
        <v>34</v>
      </c>
      <c r="E58" s="4" t="s">
        <v>25</v>
      </c>
      <c r="F58" s="4" t="s">
        <v>25</v>
      </c>
      <c r="G58" s="4" t="s">
        <v>25</v>
      </c>
      <c r="H58" s="4" t="s">
        <v>37</v>
      </c>
      <c r="I58" s="5">
        <v>44593</v>
      </c>
      <c r="J58" s="6">
        <v>0</v>
      </c>
      <c r="K58" s="6">
        <v>0</v>
      </c>
      <c r="L58" s="6">
        <v>2.6560000000000001</v>
      </c>
      <c r="M58" s="6">
        <v>2.6560000000000001</v>
      </c>
      <c r="N58" s="6">
        <v>2.6560000000000001</v>
      </c>
      <c r="O58" s="6">
        <v>2.6560000000000001</v>
      </c>
      <c r="P58" s="6">
        <v>0</v>
      </c>
      <c r="Q58" s="4" t="s">
        <v>26</v>
      </c>
      <c r="R58" s="4">
        <v>0</v>
      </c>
      <c r="S58" s="6">
        <v>0</v>
      </c>
      <c r="T58" s="6">
        <v>32</v>
      </c>
      <c r="U58" s="6">
        <v>34</v>
      </c>
      <c r="V58" s="6">
        <f>IF(ISERROR(VLOOKUP($S$58,'TAR FIN'!$A$1:$O$85,15,0)),0,VLOOKUP($S$58,'TAR FIN'!$A$1:$O$85,15,0))</f>
        <v>0</v>
      </c>
      <c r="W58" s="6">
        <f>IF(ISERROR(VLOOKUP($T$58,'TAR FIN'!$A$1:$O$85,15,0)),0,VLOOKUP($T$58,'TAR FIN'!$A$1:$O$85,15,0))</f>
        <v>2859.84</v>
      </c>
      <c r="X58" s="6">
        <f>IF(ISERROR(VLOOKUP($U$58,'TAR FIN'!$A$1:$O$85,15,0)),0,VLOOKUP($U$58,'TAR FIN'!$A$1:$O$85,15,0))</f>
        <v>119.97</v>
      </c>
      <c r="Y58" s="6"/>
      <c r="Z58" s="6">
        <f ca="1">('TUSD BE'!$AM$11+'TUSD BF'!$AM$11+'TUSD CVA'!$AM$11)*1</f>
        <v>2926.3194707169641</v>
      </c>
      <c r="AA58" s="6">
        <f>('TE BE'!$AB$5+'TE BF'!$AB$5+'TE CVA'!$AB$5)*1</f>
        <v>122.58638016056723</v>
      </c>
      <c r="AB58" s="6">
        <f>$K$58*$V$58</f>
        <v>0</v>
      </c>
      <c r="AC58" s="6">
        <f>$M$58*$W$58</f>
        <v>7595.7350400000005</v>
      </c>
      <c r="AD58" s="6">
        <f>$O$58*$X$58</f>
        <v>318.64032000000003</v>
      </c>
      <c r="AE58" s="6">
        <f>$K$58*$Y$58</f>
        <v>0</v>
      </c>
      <c r="AF58" s="6">
        <f ca="1">$M$58*$Z$58</f>
        <v>7772.3045142242572</v>
      </c>
      <c r="AG58" s="6">
        <f>$O$58*$AA$58</f>
        <v>325.58942570646656</v>
      </c>
    </row>
    <row r="59" spans="1:33" ht="11.25" customHeight="1" x14ac:dyDescent="0.3">
      <c r="A59" s="4" t="s">
        <v>21</v>
      </c>
      <c r="B59" s="4" t="s">
        <v>35</v>
      </c>
      <c r="C59" s="4" t="s">
        <v>36</v>
      </c>
      <c r="D59" s="4" t="s">
        <v>34</v>
      </c>
      <c r="E59" s="4" t="s">
        <v>25</v>
      </c>
      <c r="F59" s="4" t="s">
        <v>25</v>
      </c>
      <c r="G59" s="4" t="s">
        <v>25</v>
      </c>
      <c r="H59" s="4" t="s">
        <v>37</v>
      </c>
      <c r="I59" s="5">
        <v>44621</v>
      </c>
      <c r="J59" s="6">
        <v>0</v>
      </c>
      <c r="K59" s="6">
        <v>0</v>
      </c>
      <c r="L59" s="6">
        <v>117.13500000000001</v>
      </c>
      <c r="M59" s="6">
        <v>117.13500000000001</v>
      </c>
      <c r="N59" s="6">
        <v>117.13500000000001</v>
      </c>
      <c r="O59" s="6">
        <v>117.13500000000001</v>
      </c>
      <c r="P59" s="6">
        <v>0</v>
      </c>
      <c r="Q59" s="4" t="s">
        <v>26</v>
      </c>
      <c r="R59" s="4">
        <v>0</v>
      </c>
      <c r="S59" s="6">
        <v>0</v>
      </c>
      <c r="T59" s="6">
        <v>32</v>
      </c>
      <c r="U59" s="6">
        <v>34</v>
      </c>
      <c r="V59" s="6">
        <f>IF(ISERROR(VLOOKUP($S$59,'TAR FIN'!$A$1:$O$85,15,0)),0,VLOOKUP($S$59,'TAR FIN'!$A$1:$O$85,15,0))</f>
        <v>0</v>
      </c>
      <c r="W59" s="6">
        <f>IF(ISERROR(VLOOKUP($T$59,'TAR FIN'!$A$1:$O$85,15,0)),0,VLOOKUP($T$59,'TAR FIN'!$A$1:$O$85,15,0))</f>
        <v>2859.84</v>
      </c>
      <c r="X59" s="6">
        <f>IF(ISERROR(VLOOKUP($U$59,'TAR FIN'!$A$1:$O$85,15,0)),0,VLOOKUP($U$59,'TAR FIN'!$A$1:$O$85,15,0))</f>
        <v>119.97</v>
      </c>
      <c r="Y59" s="6"/>
      <c r="Z59" s="6">
        <f ca="1">('TUSD BE'!$AM$11+'TUSD BF'!$AM$11+'TUSD CVA'!$AM$11)*1</f>
        <v>2926.3194707169641</v>
      </c>
      <c r="AA59" s="6">
        <f>('TE BE'!$AB$5+'TE BF'!$AB$5+'TE CVA'!$AB$5)*1</f>
        <v>122.58638016056723</v>
      </c>
      <c r="AB59" s="6">
        <f>$K$59*$V$59</f>
        <v>0</v>
      </c>
      <c r="AC59" s="6">
        <f>$M$59*$W$59</f>
        <v>334987.35840000003</v>
      </c>
      <c r="AD59" s="6">
        <f>$O$59*$X$59</f>
        <v>14052.685950000001</v>
      </c>
      <c r="AE59" s="6">
        <f>$K$59*$Y$59</f>
        <v>0</v>
      </c>
      <c r="AF59" s="6">
        <f ca="1">$M$59*$Z$59</f>
        <v>342774.43120243162</v>
      </c>
      <c r="AG59" s="6">
        <f>$O$59*$AA$59</f>
        <v>14359.155640108043</v>
      </c>
    </row>
    <row r="60" spans="1:33" ht="11.25" customHeight="1" x14ac:dyDescent="0.3">
      <c r="A60" s="4" t="s">
        <v>28</v>
      </c>
      <c r="B60" s="4" t="s">
        <v>35</v>
      </c>
      <c r="C60" s="4" t="s">
        <v>36</v>
      </c>
      <c r="D60" s="4" t="s">
        <v>34</v>
      </c>
      <c r="E60" s="4" t="s">
        <v>25</v>
      </c>
      <c r="F60" s="4" t="s">
        <v>25</v>
      </c>
      <c r="G60" s="4" t="s">
        <v>25</v>
      </c>
      <c r="H60" s="4" t="s">
        <v>37</v>
      </c>
      <c r="I60" s="5">
        <v>44621</v>
      </c>
      <c r="J60" s="6">
        <v>0</v>
      </c>
      <c r="K60" s="6">
        <v>0</v>
      </c>
      <c r="L60" s="6">
        <v>2.831</v>
      </c>
      <c r="M60" s="6">
        <v>2.831</v>
      </c>
      <c r="N60" s="6">
        <v>2.831</v>
      </c>
      <c r="O60" s="6">
        <v>2.831</v>
      </c>
      <c r="P60" s="6">
        <v>0</v>
      </c>
      <c r="Q60" s="4" t="s">
        <v>26</v>
      </c>
      <c r="R60" s="4">
        <v>0</v>
      </c>
      <c r="S60" s="6">
        <v>0</v>
      </c>
      <c r="T60" s="6">
        <v>32</v>
      </c>
      <c r="U60" s="6">
        <v>34</v>
      </c>
      <c r="V60" s="6">
        <f>IF(ISERROR(VLOOKUP($S$60,'TAR FIN'!$A$1:$O$85,15,0)),0,VLOOKUP($S$60,'TAR FIN'!$A$1:$O$85,15,0))</f>
        <v>0</v>
      </c>
      <c r="W60" s="6">
        <f>IF(ISERROR(VLOOKUP($T$60,'TAR FIN'!$A$1:$O$85,15,0)),0,VLOOKUP($T$60,'TAR FIN'!$A$1:$O$85,15,0))</f>
        <v>2859.84</v>
      </c>
      <c r="X60" s="6">
        <f>IF(ISERROR(VLOOKUP($U$60,'TAR FIN'!$A$1:$O$85,15,0)),0,VLOOKUP($U$60,'TAR FIN'!$A$1:$O$85,15,0))</f>
        <v>119.97</v>
      </c>
      <c r="Y60" s="6"/>
      <c r="Z60" s="6">
        <f ca="1">('TUSD BE'!$AM$11+'TUSD BF'!$AM$11+'TUSD CVA'!$AM$11)*1</f>
        <v>2926.3194707169641</v>
      </c>
      <c r="AA60" s="6">
        <f>('TE BE'!$AB$5+'TE BF'!$AB$5+'TE CVA'!$AB$5)*1</f>
        <v>122.58638016056723</v>
      </c>
      <c r="AB60" s="6">
        <f>$K$60*$V$60</f>
        <v>0</v>
      </c>
      <c r="AC60" s="6">
        <f>$M$60*$W$60</f>
        <v>8096.2070400000002</v>
      </c>
      <c r="AD60" s="6">
        <f>$O$60*$X$60</f>
        <v>339.63506999999998</v>
      </c>
      <c r="AE60" s="6">
        <f>$K$60*$Y$60</f>
        <v>0</v>
      </c>
      <c r="AF60" s="6">
        <f ca="1">$M$60*$Z$60</f>
        <v>8284.4104215997249</v>
      </c>
      <c r="AG60" s="6">
        <f>$O$60*$AA$60</f>
        <v>347.04204223456583</v>
      </c>
    </row>
    <row r="61" spans="1:33" ht="11.25" customHeight="1" x14ac:dyDescent="0.3">
      <c r="A61" s="4" t="s">
        <v>21</v>
      </c>
      <c r="B61" s="4" t="s">
        <v>35</v>
      </c>
      <c r="C61" s="4" t="s">
        <v>36</v>
      </c>
      <c r="D61" s="4" t="s">
        <v>34</v>
      </c>
      <c r="E61" s="4" t="s">
        <v>25</v>
      </c>
      <c r="F61" s="4" t="s">
        <v>25</v>
      </c>
      <c r="G61" s="4" t="s">
        <v>25</v>
      </c>
      <c r="H61" s="4" t="s">
        <v>37</v>
      </c>
      <c r="I61" s="5">
        <v>44652</v>
      </c>
      <c r="J61" s="6">
        <v>0</v>
      </c>
      <c r="K61" s="6">
        <v>0</v>
      </c>
      <c r="L61" s="6">
        <v>90.576999999999998</v>
      </c>
      <c r="M61" s="6">
        <v>90.576999999999998</v>
      </c>
      <c r="N61" s="6">
        <v>90.576999999999998</v>
      </c>
      <c r="O61" s="6">
        <v>90.576999999999998</v>
      </c>
      <c r="P61" s="6">
        <v>0</v>
      </c>
      <c r="Q61" s="4" t="s">
        <v>26</v>
      </c>
      <c r="R61" s="4">
        <v>0</v>
      </c>
      <c r="S61" s="6">
        <v>0</v>
      </c>
      <c r="T61" s="6">
        <v>32</v>
      </c>
      <c r="U61" s="6">
        <v>34</v>
      </c>
      <c r="V61" s="6">
        <f>IF(ISERROR(VLOOKUP($S$61,'TAR FIN'!$A$1:$O$85,15,0)),0,VLOOKUP($S$61,'TAR FIN'!$A$1:$O$85,15,0))</f>
        <v>0</v>
      </c>
      <c r="W61" s="6">
        <f>IF(ISERROR(VLOOKUP($T$61,'TAR FIN'!$A$1:$O$85,15,0)),0,VLOOKUP($T$61,'TAR FIN'!$A$1:$O$85,15,0))</f>
        <v>2859.84</v>
      </c>
      <c r="X61" s="6">
        <f>IF(ISERROR(VLOOKUP($U$61,'TAR FIN'!$A$1:$O$85,15,0)),0,VLOOKUP($U$61,'TAR FIN'!$A$1:$O$85,15,0))</f>
        <v>119.97</v>
      </c>
      <c r="Y61" s="6"/>
      <c r="Z61" s="6">
        <f ca="1">('TUSD BE'!$AM$11+'TUSD BF'!$AM$11+'TUSD CVA'!$AM$11)*1</f>
        <v>2926.3194707169641</v>
      </c>
      <c r="AA61" s="6">
        <f>('TE BE'!$AB$5+'TE BF'!$AB$5+'TE CVA'!$AB$5)*1</f>
        <v>122.58638016056723</v>
      </c>
      <c r="AB61" s="6">
        <f>$K$61*$V$61</f>
        <v>0</v>
      </c>
      <c r="AC61" s="6">
        <f>$M$61*$W$61</f>
        <v>259035.72768000001</v>
      </c>
      <c r="AD61" s="6">
        <f>$O$61*$X$61</f>
        <v>10866.52269</v>
      </c>
      <c r="AE61" s="6">
        <f>$K$61*$Y$61</f>
        <v>0</v>
      </c>
      <c r="AF61" s="6">
        <f ca="1">$M$61*$Z$61</f>
        <v>265057.23869913048</v>
      </c>
      <c r="AG61" s="6">
        <f>$O$61*$AA$61</f>
        <v>11103.506555803699</v>
      </c>
    </row>
    <row r="62" spans="1:33" ht="11.25" customHeight="1" x14ac:dyDescent="0.3">
      <c r="A62" s="4" t="s">
        <v>27</v>
      </c>
      <c r="B62" s="4" t="s">
        <v>35</v>
      </c>
      <c r="C62" s="4" t="s">
        <v>36</v>
      </c>
      <c r="D62" s="4" t="s">
        <v>34</v>
      </c>
      <c r="E62" s="4" t="s">
        <v>25</v>
      </c>
      <c r="F62" s="4" t="s">
        <v>25</v>
      </c>
      <c r="G62" s="4" t="s">
        <v>25</v>
      </c>
      <c r="H62" s="4" t="s">
        <v>37</v>
      </c>
      <c r="I62" s="5">
        <v>44652</v>
      </c>
      <c r="J62" s="6">
        <v>0</v>
      </c>
      <c r="K62" s="6">
        <v>0</v>
      </c>
      <c r="L62" s="6">
        <v>-2.9020000000000001</v>
      </c>
      <c r="M62" s="6">
        <v>-2.9020000000000001</v>
      </c>
      <c r="N62" s="6">
        <v>-2.9020000000000001</v>
      </c>
      <c r="O62" s="6">
        <v>-2.9020000000000001</v>
      </c>
      <c r="P62" s="6">
        <v>0</v>
      </c>
      <c r="Q62" s="4" t="s">
        <v>26</v>
      </c>
      <c r="R62" s="4">
        <v>0</v>
      </c>
      <c r="S62" s="6">
        <v>0</v>
      </c>
      <c r="T62" s="6">
        <v>32</v>
      </c>
      <c r="U62" s="6">
        <v>34</v>
      </c>
      <c r="V62" s="6">
        <f>IF(ISERROR(VLOOKUP($S$62,'TAR FIN'!$A$1:$O$85,15,0)),0,VLOOKUP($S$62,'TAR FIN'!$A$1:$O$85,15,0))</f>
        <v>0</v>
      </c>
      <c r="W62" s="6">
        <f>IF(ISERROR(VLOOKUP($T$62,'TAR FIN'!$A$1:$O$85,15,0)),0,VLOOKUP($T$62,'TAR FIN'!$A$1:$O$85,15,0))</f>
        <v>2859.84</v>
      </c>
      <c r="X62" s="6">
        <f>IF(ISERROR(VLOOKUP($U$62,'TAR FIN'!$A$1:$O$85,15,0)),0,VLOOKUP($U$62,'TAR FIN'!$A$1:$O$85,15,0))</f>
        <v>119.97</v>
      </c>
      <c r="Y62" s="6"/>
      <c r="Z62" s="6">
        <f ca="1">('TUSD BE'!$AM$11+'TUSD BF'!$AM$11+'TUSD CVA'!$AM$11)*1</f>
        <v>2926.3194707169641</v>
      </c>
      <c r="AA62" s="6">
        <f>('TE BE'!$AB$5+'TE BF'!$AB$5+'TE CVA'!$AB$5)*1</f>
        <v>122.58638016056723</v>
      </c>
      <c r="AB62" s="6">
        <f>$K$62*$V$62</f>
        <v>0</v>
      </c>
      <c r="AC62" s="6">
        <f>$M$62*$W$62</f>
        <v>-8299.2556800000002</v>
      </c>
      <c r="AD62" s="6">
        <f>$O$62*$X$62</f>
        <v>-348.15294</v>
      </c>
      <c r="AE62" s="6">
        <f>$K$62*$Y$62</f>
        <v>0</v>
      </c>
      <c r="AF62" s="6">
        <f ca="1">$M$62*$Z$62</f>
        <v>-8492.1791040206299</v>
      </c>
      <c r="AG62" s="6">
        <f>$O$62*$AA$62</f>
        <v>-355.74567522596612</v>
      </c>
    </row>
    <row r="63" spans="1:33" ht="11.25" customHeight="1" x14ac:dyDescent="0.3">
      <c r="A63" s="4" t="s">
        <v>28</v>
      </c>
      <c r="B63" s="4" t="s">
        <v>35</v>
      </c>
      <c r="C63" s="4" t="s">
        <v>36</v>
      </c>
      <c r="D63" s="4" t="s">
        <v>34</v>
      </c>
      <c r="E63" s="4" t="s">
        <v>25</v>
      </c>
      <c r="F63" s="4" t="s">
        <v>25</v>
      </c>
      <c r="G63" s="4" t="s">
        <v>25</v>
      </c>
      <c r="H63" s="4" t="s">
        <v>37</v>
      </c>
      <c r="I63" s="5">
        <v>44652</v>
      </c>
      <c r="J63" s="6">
        <v>0</v>
      </c>
      <c r="K63" s="6">
        <v>0</v>
      </c>
      <c r="L63" s="6">
        <v>2.6850000000000001</v>
      </c>
      <c r="M63" s="6">
        <v>2.6850000000000001</v>
      </c>
      <c r="N63" s="6">
        <v>2.6850000000000001</v>
      </c>
      <c r="O63" s="6">
        <v>2.6850000000000001</v>
      </c>
      <c r="P63" s="6">
        <v>0</v>
      </c>
      <c r="Q63" s="4" t="s">
        <v>26</v>
      </c>
      <c r="R63" s="4">
        <v>0</v>
      </c>
      <c r="S63" s="6">
        <v>0</v>
      </c>
      <c r="T63" s="6">
        <v>32</v>
      </c>
      <c r="U63" s="6">
        <v>34</v>
      </c>
      <c r="V63" s="6">
        <f>IF(ISERROR(VLOOKUP($S$63,'TAR FIN'!$A$1:$O$85,15,0)),0,VLOOKUP($S$63,'TAR FIN'!$A$1:$O$85,15,0))</f>
        <v>0</v>
      </c>
      <c r="W63" s="6">
        <f>IF(ISERROR(VLOOKUP($T$63,'TAR FIN'!$A$1:$O$85,15,0)),0,VLOOKUP($T$63,'TAR FIN'!$A$1:$O$85,15,0))</f>
        <v>2859.84</v>
      </c>
      <c r="X63" s="6">
        <f>IF(ISERROR(VLOOKUP($U$63,'TAR FIN'!$A$1:$O$85,15,0)),0,VLOOKUP($U$63,'TAR FIN'!$A$1:$O$85,15,0))</f>
        <v>119.97</v>
      </c>
      <c r="Y63" s="6"/>
      <c r="Z63" s="6">
        <f ca="1">('TUSD BE'!$AM$11+'TUSD BF'!$AM$11+'TUSD CVA'!$AM$11)*1</f>
        <v>2926.3194707169641</v>
      </c>
      <c r="AA63" s="6">
        <f>('TE BE'!$AB$5+'TE BF'!$AB$5+'TE CVA'!$AB$5)*1</f>
        <v>122.58638016056723</v>
      </c>
      <c r="AB63" s="6">
        <f>$K$63*$V$63</f>
        <v>0</v>
      </c>
      <c r="AC63" s="6">
        <f>$M$63*$W$63</f>
        <v>7678.6704000000009</v>
      </c>
      <c r="AD63" s="6">
        <f>$O$63*$X$63</f>
        <v>322.11945000000003</v>
      </c>
      <c r="AE63" s="6">
        <f>$K$63*$Y$63</f>
        <v>0</v>
      </c>
      <c r="AF63" s="6">
        <f ca="1">$M$63*$Z$63</f>
        <v>7857.1677788750485</v>
      </c>
      <c r="AG63" s="6">
        <f>$O$63*$AA$63</f>
        <v>329.14443073112301</v>
      </c>
    </row>
    <row r="64" spans="1:33" ht="11.25" customHeight="1" x14ac:dyDescent="0.3">
      <c r="A64" s="4" t="s">
        <v>21</v>
      </c>
      <c r="B64" s="4" t="s">
        <v>35</v>
      </c>
      <c r="C64" s="4" t="s">
        <v>36</v>
      </c>
      <c r="D64" s="4" t="s">
        <v>34</v>
      </c>
      <c r="E64" s="4" t="s">
        <v>25</v>
      </c>
      <c r="F64" s="4" t="s">
        <v>25</v>
      </c>
      <c r="G64" s="4" t="s">
        <v>25</v>
      </c>
      <c r="H64" s="4" t="s">
        <v>37</v>
      </c>
      <c r="I64" s="5">
        <v>44682</v>
      </c>
      <c r="J64" s="6">
        <v>0</v>
      </c>
      <c r="K64" s="6">
        <v>0</v>
      </c>
      <c r="L64" s="6">
        <v>107.97199999999999</v>
      </c>
      <c r="M64" s="6">
        <v>107.97199999999999</v>
      </c>
      <c r="N64" s="6">
        <v>107.97199999999999</v>
      </c>
      <c r="O64" s="6">
        <v>107.97199999999999</v>
      </c>
      <c r="P64" s="6">
        <v>0</v>
      </c>
      <c r="Q64" s="4" t="s">
        <v>26</v>
      </c>
      <c r="R64" s="4">
        <v>0</v>
      </c>
      <c r="S64" s="6">
        <v>0</v>
      </c>
      <c r="T64" s="6">
        <v>32</v>
      </c>
      <c r="U64" s="6">
        <v>34</v>
      </c>
      <c r="V64" s="6">
        <f>IF(ISERROR(VLOOKUP($S$64,'TAR FIN'!$A$1:$O$85,15,0)),0,VLOOKUP($S$64,'TAR FIN'!$A$1:$O$85,15,0))</f>
        <v>0</v>
      </c>
      <c r="W64" s="6">
        <f>IF(ISERROR(VLOOKUP($T$64,'TAR FIN'!$A$1:$O$85,15,0)),0,VLOOKUP($T$64,'TAR FIN'!$A$1:$O$85,15,0))</f>
        <v>2859.84</v>
      </c>
      <c r="X64" s="6">
        <f>IF(ISERROR(VLOOKUP($U$64,'TAR FIN'!$A$1:$O$85,15,0)),0,VLOOKUP($U$64,'TAR FIN'!$A$1:$O$85,15,0))</f>
        <v>119.97</v>
      </c>
      <c r="Y64" s="6"/>
      <c r="Z64" s="6">
        <f ca="1">('TUSD BE'!$AM$11+'TUSD BF'!$AM$11+'TUSD CVA'!$AM$11)*1</f>
        <v>2926.3194707169641</v>
      </c>
      <c r="AA64" s="6">
        <f>('TE BE'!$AB$5+'TE BF'!$AB$5+'TE CVA'!$AB$5)*1</f>
        <v>122.58638016056723</v>
      </c>
      <c r="AB64" s="6">
        <f>$K$64*$V$64</f>
        <v>0</v>
      </c>
      <c r="AC64" s="6">
        <f>$M$64*$W$64</f>
        <v>308782.64448000002</v>
      </c>
      <c r="AD64" s="6">
        <f>$O$64*$X$64</f>
        <v>12953.400839999998</v>
      </c>
      <c r="AE64" s="6">
        <f>$K$64*$Y$64</f>
        <v>0</v>
      </c>
      <c r="AF64" s="6">
        <f ca="1">$M$64*$Z$64</f>
        <v>315960.56589225202</v>
      </c>
      <c r="AG64" s="6">
        <f>$O$64*$AA$64</f>
        <v>13235.896638696764</v>
      </c>
    </row>
    <row r="65" spans="1:33" ht="11.25" customHeight="1" x14ac:dyDescent="0.3">
      <c r="A65" s="4" t="s">
        <v>28</v>
      </c>
      <c r="B65" s="4" t="s">
        <v>35</v>
      </c>
      <c r="C65" s="4" t="s">
        <v>36</v>
      </c>
      <c r="D65" s="4" t="s">
        <v>34</v>
      </c>
      <c r="E65" s="4" t="s">
        <v>25</v>
      </c>
      <c r="F65" s="4" t="s">
        <v>25</v>
      </c>
      <c r="G65" s="4" t="s">
        <v>25</v>
      </c>
      <c r="H65" s="4" t="s">
        <v>37</v>
      </c>
      <c r="I65" s="5">
        <v>44682</v>
      </c>
      <c r="J65" s="6">
        <v>0</v>
      </c>
      <c r="K65" s="6">
        <v>0</v>
      </c>
      <c r="L65" s="6">
        <v>3.383</v>
      </c>
      <c r="M65" s="6">
        <v>3.383</v>
      </c>
      <c r="N65" s="6">
        <v>3.383</v>
      </c>
      <c r="O65" s="6">
        <v>3.383</v>
      </c>
      <c r="P65" s="6">
        <v>0</v>
      </c>
      <c r="Q65" s="4" t="s">
        <v>26</v>
      </c>
      <c r="R65" s="4">
        <v>0</v>
      </c>
      <c r="S65" s="6">
        <v>0</v>
      </c>
      <c r="T65" s="6">
        <v>32</v>
      </c>
      <c r="U65" s="6">
        <v>34</v>
      </c>
      <c r="V65" s="6">
        <f>IF(ISERROR(VLOOKUP($S$65,'TAR FIN'!$A$1:$O$85,15,0)),0,VLOOKUP($S$65,'TAR FIN'!$A$1:$O$85,15,0))</f>
        <v>0</v>
      </c>
      <c r="W65" s="6">
        <f>IF(ISERROR(VLOOKUP($T$65,'TAR FIN'!$A$1:$O$85,15,0)),0,VLOOKUP($T$65,'TAR FIN'!$A$1:$O$85,15,0))</f>
        <v>2859.84</v>
      </c>
      <c r="X65" s="6">
        <f>IF(ISERROR(VLOOKUP($U$65,'TAR FIN'!$A$1:$O$85,15,0)),0,VLOOKUP($U$65,'TAR FIN'!$A$1:$O$85,15,0))</f>
        <v>119.97</v>
      </c>
      <c r="Y65" s="6"/>
      <c r="Z65" s="6">
        <f ca="1">('TUSD BE'!$AM$11+'TUSD BF'!$AM$11+'TUSD CVA'!$AM$11)*1</f>
        <v>2926.3194707169641</v>
      </c>
      <c r="AA65" s="6">
        <f>('TE BE'!$AB$5+'TE BF'!$AB$5+'TE CVA'!$AB$5)*1</f>
        <v>122.58638016056723</v>
      </c>
      <c r="AB65" s="6">
        <f>$K$65*$V$65</f>
        <v>0</v>
      </c>
      <c r="AC65" s="6">
        <f>$M$65*$W$65</f>
        <v>9674.8387199999997</v>
      </c>
      <c r="AD65" s="6">
        <f>$O$65*$X$65</f>
        <v>405.85851000000002</v>
      </c>
      <c r="AE65" s="6">
        <f>$K$65*$Y$65</f>
        <v>0</v>
      </c>
      <c r="AF65" s="6">
        <f ca="1">$M$65*$Z$65</f>
        <v>9899.7387694354893</v>
      </c>
      <c r="AG65" s="6">
        <f>$O$65*$AA$65</f>
        <v>414.70972408319892</v>
      </c>
    </row>
    <row r="66" spans="1:33" ht="11.25" customHeight="1" x14ac:dyDescent="0.3">
      <c r="A66" s="4" t="s">
        <v>21</v>
      </c>
      <c r="B66" s="4" t="s">
        <v>35</v>
      </c>
      <c r="C66" s="4" t="s">
        <v>36</v>
      </c>
      <c r="D66" s="4" t="s">
        <v>34</v>
      </c>
      <c r="E66" s="4" t="s">
        <v>25</v>
      </c>
      <c r="F66" s="4" t="s">
        <v>25</v>
      </c>
      <c r="G66" s="4" t="s">
        <v>25</v>
      </c>
      <c r="H66" s="4" t="s">
        <v>37</v>
      </c>
      <c r="I66" s="5">
        <v>44713</v>
      </c>
      <c r="J66" s="6">
        <v>0</v>
      </c>
      <c r="K66" s="6">
        <v>0</v>
      </c>
      <c r="L66" s="6">
        <v>98.912999999999997</v>
      </c>
      <c r="M66" s="6">
        <v>98.912999999999997</v>
      </c>
      <c r="N66" s="6">
        <v>98.912999999999997</v>
      </c>
      <c r="O66" s="6">
        <v>98.912999999999997</v>
      </c>
      <c r="P66" s="6">
        <v>0</v>
      </c>
      <c r="Q66" s="4" t="s">
        <v>26</v>
      </c>
      <c r="R66" s="4">
        <v>0</v>
      </c>
      <c r="S66" s="6">
        <v>0</v>
      </c>
      <c r="T66" s="6">
        <v>32</v>
      </c>
      <c r="U66" s="6">
        <v>34</v>
      </c>
      <c r="V66" s="6">
        <f>IF(ISERROR(VLOOKUP($S$66,'TAR FIN'!$A$1:$O$85,15,0)),0,VLOOKUP($S$66,'TAR FIN'!$A$1:$O$85,15,0))</f>
        <v>0</v>
      </c>
      <c r="W66" s="6">
        <f>IF(ISERROR(VLOOKUP($T$66,'TAR FIN'!$A$1:$O$85,15,0)),0,VLOOKUP($T$66,'TAR FIN'!$A$1:$O$85,15,0))</f>
        <v>2859.84</v>
      </c>
      <c r="X66" s="6">
        <f>IF(ISERROR(VLOOKUP($U$66,'TAR FIN'!$A$1:$O$85,15,0)),0,VLOOKUP($U$66,'TAR FIN'!$A$1:$O$85,15,0))</f>
        <v>119.97</v>
      </c>
      <c r="Y66" s="6"/>
      <c r="Z66" s="6">
        <f ca="1">('TUSD BE'!$AM$11+'TUSD BF'!$AM$11+'TUSD CVA'!$AM$11)*1</f>
        <v>2926.3194707169641</v>
      </c>
      <c r="AA66" s="6">
        <f>('TE BE'!$AB$5+'TE BF'!$AB$5+'TE CVA'!$AB$5)*1</f>
        <v>122.58638016056723</v>
      </c>
      <c r="AB66" s="6">
        <f>$K$66*$V$66</f>
        <v>0</v>
      </c>
      <c r="AC66" s="6">
        <f>$M$66*$W$66</f>
        <v>282875.35392000002</v>
      </c>
      <c r="AD66" s="6">
        <f>$O$66*$X$66</f>
        <v>11866.59261</v>
      </c>
      <c r="AE66" s="6">
        <f>$K$66*$Y$66</f>
        <v>0</v>
      </c>
      <c r="AF66" s="6">
        <f ca="1">$M$66*$Z$66</f>
        <v>289451.03780702705</v>
      </c>
      <c r="AG66" s="6">
        <f>$O$66*$AA$66</f>
        <v>12125.386620822186</v>
      </c>
    </row>
    <row r="67" spans="1:33" ht="11.25" customHeight="1" x14ac:dyDescent="0.3">
      <c r="A67" s="4" t="s">
        <v>28</v>
      </c>
      <c r="B67" s="4" t="s">
        <v>35</v>
      </c>
      <c r="C67" s="4" t="s">
        <v>36</v>
      </c>
      <c r="D67" s="4" t="s">
        <v>34</v>
      </c>
      <c r="E67" s="4" t="s">
        <v>25</v>
      </c>
      <c r="F67" s="4" t="s">
        <v>25</v>
      </c>
      <c r="G67" s="4" t="s">
        <v>25</v>
      </c>
      <c r="H67" s="4" t="s">
        <v>37</v>
      </c>
      <c r="I67" s="5">
        <v>44713</v>
      </c>
      <c r="J67" s="6">
        <v>0</v>
      </c>
      <c r="K67" s="6">
        <v>0</v>
      </c>
      <c r="L67" s="6">
        <v>3.0649999999999999</v>
      </c>
      <c r="M67" s="6">
        <v>3.0649999999999999</v>
      </c>
      <c r="N67" s="6">
        <v>3.0649999999999999</v>
      </c>
      <c r="O67" s="6">
        <v>3.0649999999999999</v>
      </c>
      <c r="P67" s="6">
        <v>0</v>
      </c>
      <c r="Q67" s="4" t="s">
        <v>26</v>
      </c>
      <c r="R67" s="4">
        <v>0</v>
      </c>
      <c r="S67" s="6">
        <v>0</v>
      </c>
      <c r="T67" s="6">
        <v>32</v>
      </c>
      <c r="U67" s="6">
        <v>34</v>
      </c>
      <c r="V67" s="6">
        <f>IF(ISERROR(VLOOKUP($S$67,'TAR FIN'!$A$1:$O$85,15,0)),0,VLOOKUP($S$67,'TAR FIN'!$A$1:$O$85,15,0))</f>
        <v>0</v>
      </c>
      <c r="W67" s="6">
        <f>IF(ISERROR(VLOOKUP($T$67,'TAR FIN'!$A$1:$O$85,15,0)),0,VLOOKUP($T$67,'TAR FIN'!$A$1:$O$85,15,0))</f>
        <v>2859.84</v>
      </c>
      <c r="X67" s="6">
        <f>IF(ISERROR(VLOOKUP($U$67,'TAR FIN'!$A$1:$O$85,15,0)),0,VLOOKUP($U$67,'TAR FIN'!$A$1:$O$85,15,0))</f>
        <v>119.97</v>
      </c>
      <c r="Y67" s="6"/>
      <c r="Z67" s="6">
        <f ca="1">('TUSD BE'!$AM$11+'TUSD BF'!$AM$11+'TUSD CVA'!$AM$11)*1</f>
        <v>2926.3194707169641</v>
      </c>
      <c r="AA67" s="6">
        <f>('TE BE'!$AB$5+'TE BF'!$AB$5+'TE CVA'!$AB$5)*1</f>
        <v>122.58638016056723</v>
      </c>
      <c r="AB67" s="6">
        <f>$K$67*$V$67</f>
        <v>0</v>
      </c>
      <c r="AC67" s="6">
        <f>$M$67*$W$67</f>
        <v>8765.4096000000009</v>
      </c>
      <c r="AD67" s="6">
        <f>$O$67*$X$67</f>
        <v>367.70805000000001</v>
      </c>
      <c r="AE67" s="6">
        <f>$K$67*$Y$67</f>
        <v>0</v>
      </c>
      <c r="AF67" s="6">
        <f ca="1">$M$67*$Z$67</f>
        <v>8969.1691777474953</v>
      </c>
      <c r="AG67" s="6">
        <f>$O$67*$AA$67</f>
        <v>375.72725519213856</v>
      </c>
    </row>
    <row r="68" spans="1:33" ht="11.25" customHeight="1" x14ac:dyDescent="0.3">
      <c r="A68" s="4" t="s">
        <v>21</v>
      </c>
      <c r="B68" s="4" t="s">
        <v>35</v>
      </c>
      <c r="C68" s="4" t="s">
        <v>36</v>
      </c>
      <c r="D68" s="4" t="s">
        <v>34</v>
      </c>
      <c r="E68" s="4" t="s">
        <v>25</v>
      </c>
      <c r="F68" s="4" t="s">
        <v>25</v>
      </c>
      <c r="G68" s="4" t="s">
        <v>25</v>
      </c>
      <c r="H68" s="4" t="s">
        <v>37</v>
      </c>
      <c r="I68" s="5">
        <v>44743</v>
      </c>
      <c r="J68" s="6">
        <v>0</v>
      </c>
      <c r="K68" s="6">
        <v>0</v>
      </c>
      <c r="L68" s="6">
        <v>99.21</v>
      </c>
      <c r="M68" s="6">
        <v>99.21</v>
      </c>
      <c r="N68" s="6">
        <v>99.21</v>
      </c>
      <c r="O68" s="6">
        <v>99.21</v>
      </c>
      <c r="P68" s="6">
        <v>0</v>
      </c>
      <c r="Q68" s="4" t="s">
        <v>26</v>
      </c>
      <c r="R68" s="4">
        <v>0</v>
      </c>
      <c r="S68" s="6">
        <v>0</v>
      </c>
      <c r="T68" s="6">
        <v>32</v>
      </c>
      <c r="U68" s="6">
        <v>34</v>
      </c>
      <c r="V68" s="6">
        <f>IF(ISERROR(VLOOKUP($S$68,'TAR FIN'!$A$1:$O$85,15,0)),0,VLOOKUP($S$68,'TAR FIN'!$A$1:$O$85,15,0))</f>
        <v>0</v>
      </c>
      <c r="W68" s="6">
        <f>IF(ISERROR(VLOOKUP($T$68,'TAR FIN'!$A$1:$O$85,15,0)),0,VLOOKUP($T$68,'TAR FIN'!$A$1:$O$85,15,0))</f>
        <v>2859.84</v>
      </c>
      <c r="X68" s="6">
        <f>IF(ISERROR(VLOOKUP($U$68,'TAR FIN'!$A$1:$O$85,15,0)),0,VLOOKUP($U$68,'TAR FIN'!$A$1:$O$85,15,0))</f>
        <v>119.97</v>
      </c>
      <c r="Y68" s="6"/>
      <c r="Z68" s="6">
        <f ca="1">('TUSD BE'!$AM$11+'TUSD BF'!$AM$11+'TUSD CVA'!$AM$11)*1</f>
        <v>2926.3194707169641</v>
      </c>
      <c r="AA68" s="6">
        <f>('TE BE'!$AB$5+'TE BF'!$AB$5+'TE CVA'!$AB$5)*1</f>
        <v>122.58638016056723</v>
      </c>
      <c r="AB68" s="6">
        <f>$K$68*$V$68</f>
        <v>0</v>
      </c>
      <c r="AC68" s="6">
        <f>$M$68*$W$68</f>
        <v>283724.72639999999</v>
      </c>
      <c r="AD68" s="6">
        <f>$O$68*$X$68</f>
        <v>11902.223699999999</v>
      </c>
      <c r="AE68" s="6">
        <f>$K$68*$Y$68</f>
        <v>0</v>
      </c>
      <c r="AF68" s="6">
        <f ca="1">$M$68*$Z$68</f>
        <v>290320.15468982997</v>
      </c>
      <c r="AG68" s="6">
        <f>$O$68*$AA$68</f>
        <v>12161.794775729873</v>
      </c>
    </row>
    <row r="69" spans="1:33" ht="11.25" customHeight="1" x14ac:dyDescent="0.3">
      <c r="A69" s="4" t="s">
        <v>28</v>
      </c>
      <c r="B69" s="4" t="s">
        <v>35</v>
      </c>
      <c r="C69" s="4" t="s">
        <v>36</v>
      </c>
      <c r="D69" s="4" t="s">
        <v>34</v>
      </c>
      <c r="E69" s="4" t="s">
        <v>25</v>
      </c>
      <c r="F69" s="4" t="s">
        <v>25</v>
      </c>
      <c r="G69" s="4" t="s">
        <v>25</v>
      </c>
      <c r="H69" s="4" t="s">
        <v>37</v>
      </c>
      <c r="I69" s="5">
        <v>44743</v>
      </c>
      <c r="J69" s="6">
        <v>0</v>
      </c>
      <c r="K69" s="6">
        <v>0</v>
      </c>
      <c r="L69" s="6">
        <v>2.9039999999999999</v>
      </c>
      <c r="M69" s="6">
        <v>2.9039999999999999</v>
      </c>
      <c r="N69" s="6">
        <v>2.9039999999999999</v>
      </c>
      <c r="O69" s="6">
        <v>2.9039999999999999</v>
      </c>
      <c r="P69" s="6">
        <v>0</v>
      </c>
      <c r="Q69" s="4" t="s">
        <v>26</v>
      </c>
      <c r="R69" s="4">
        <v>0</v>
      </c>
      <c r="S69" s="6">
        <v>0</v>
      </c>
      <c r="T69" s="6">
        <v>32</v>
      </c>
      <c r="U69" s="6">
        <v>34</v>
      </c>
      <c r="V69" s="6">
        <f>IF(ISERROR(VLOOKUP($S$69,'TAR FIN'!$A$1:$O$85,15,0)),0,VLOOKUP($S$69,'TAR FIN'!$A$1:$O$85,15,0))</f>
        <v>0</v>
      </c>
      <c r="W69" s="6">
        <f>IF(ISERROR(VLOOKUP($T$69,'TAR FIN'!$A$1:$O$85,15,0)),0,VLOOKUP($T$69,'TAR FIN'!$A$1:$O$85,15,0))</f>
        <v>2859.84</v>
      </c>
      <c r="X69" s="6">
        <f>IF(ISERROR(VLOOKUP($U$69,'TAR FIN'!$A$1:$O$85,15,0)),0,VLOOKUP($U$69,'TAR FIN'!$A$1:$O$85,15,0))</f>
        <v>119.97</v>
      </c>
      <c r="Y69" s="6"/>
      <c r="Z69" s="6">
        <f ca="1">('TUSD BE'!$AM$11+'TUSD BF'!$AM$11+'TUSD CVA'!$AM$11)*1</f>
        <v>2926.3194707169641</v>
      </c>
      <c r="AA69" s="6">
        <f>('TE BE'!$AB$5+'TE BF'!$AB$5+'TE CVA'!$AB$5)*1</f>
        <v>122.58638016056723</v>
      </c>
      <c r="AB69" s="6">
        <f>$K$69*$V$69</f>
        <v>0</v>
      </c>
      <c r="AC69" s="6">
        <f>$M$69*$W$69</f>
        <v>8304.9753600000004</v>
      </c>
      <c r="AD69" s="6">
        <f>$O$69*$X$69</f>
        <v>348.39287999999999</v>
      </c>
      <c r="AE69" s="6">
        <f>$K$69*$Y$69</f>
        <v>0</v>
      </c>
      <c r="AF69" s="6">
        <f ca="1">$M$69*$Z$69</f>
        <v>8498.0317429620627</v>
      </c>
      <c r="AG69" s="6">
        <f>$O$69*$AA$69</f>
        <v>355.99084798628724</v>
      </c>
    </row>
    <row r="70" spans="1:33" ht="11.25" customHeight="1" x14ac:dyDescent="0.3">
      <c r="A70" s="4" t="s">
        <v>52</v>
      </c>
      <c r="B70" s="4" t="s">
        <v>35</v>
      </c>
      <c r="C70" s="4" t="s">
        <v>36</v>
      </c>
      <c r="D70" s="4" t="s">
        <v>34</v>
      </c>
      <c r="E70" s="4" t="s">
        <v>25</v>
      </c>
      <c r="F70" s="4" t="s">
        <v>25</v>
      </c>
      <c r="G70" s="4" t="s">
        <v>25</v>
      </c>
      <c r="H70" s="4" t="s">
        <v>37</v>
      </c>
      <c r="I70" s="5">
        <v>44774</v>
      </c>
      <c r="J70" s="6">
        <v>0</v>
      </c>
      <c r="K70" s="6">
        <v>0</v>
      </c>
      <c r="L70" s="6">
        <v>99.21</v>
      </c>
      <c r="M70" s="6">
        <v>99.21</v>
      </c>
      <c r="N70" s="6">
        <v>99.21</v>
      </c>
      <c r="O70" s="6">
        <v>99.21</v>
      </c>
      <c r="P70" s="6">
        <v>0</v>
      </c>
      <c r="Q70" s="4" t="s">
        <v>26</v>
      </c>
      <c r="R70" s="4">
        <v>0</v>
      </c>
      <c r="S70" s="6">
        <v>0</v>
      </c>
      <c r="T70" s="6">
        <v>32</v>
      </c>
      <c r="U70" s="6">
        <v>34</v>
      </c>
      <c r="V70" s="6">
        <f>IF(ISERROR(VLOOKUP($S$70,'TAR FIN'!$A$1:$O$85,15,0)),0,VLOOKUP($S$70,'TAR FIN'!$A$1:$O$85,15,0))</f>
        <v>0</v>
      </c>
      <c r="W70" s="6">
        <f>IF(ISERROR(VLOOKUP($T$70,'TAR FIN'!$A$1:$O$85,15,0)),0,VLOOKUP($T$70,'TAR FIN'!$A$1:$O$85,15,0))</f>
        <v>2859.84</v>
      </c>
      <c r="X70" s="6">
        <f>IF(ISERROR(VLOOKUP($U$70,'TAR FIN'!$A$1:$O$85,15,0)),0,VLOOKUP($U$70,'TAR FIN'!$A$1:$O$85,15,0))</f>
        <v>119.97</v>
      </c>
      <c r="Y70" s="6"/>
      <c r="Z70" s="6">
        <f ca="1">('TUSD BE'!$AM$11+'TUSD BF'!$AM$11+'TUSD CVA'!$AM$11)*1</f>
        <v>2926.3194707169641</v>
      </c>
      <c r="AA70" s="6">
        <f>('TE BE'!$AB$5+'TE BF'!$AB$5+'TE CVA'!$AB$5)*1</f>
        <v>122.58638016056723</v>
      </c>
      <c r="AB70" s="6">
        <f>$K$70*$V$70</f>
        <v>0</v>
      </c>
      <c r="AC70" s="6">
        <f>$M$70*$W$70</f>
        <v>283724.72639999999</v>
      </c>
      <c r="AD70" s="6">
        <f>$O$70*$X$70</f>
        <v>11902.223699999999</v>
      </c>
      <c r="AE70" s="6">
        <f>$K$70*$Y$70</f>
        <v>0</v>
      </c>
      <c r="AF70" s="6">
        <f ca="1">$M$70*$Z$70</f>
        <v>290320.15468982997</v>
      </c>
      <c r="AG70" s="6">
        <f>$O$70*$AA$70</f>
        <v>12161.794775729873</v>
      </c>
    </row>
    <row r="71" spans="1:33" ht="11.25" customHeight="1" x14ac:dyDescent="0.3">
      <c r="A71" s="4" t="s">
        <v>52</v>
      </c>
      <c r="B71" s="4" t="s">
        <v>35</v>
      </c>
      <c r="C71" s="4" t="s">
        <v>36</v>
      </c>
      <c r="D71" s="4" t="s">
        <v>34</v>
      </c>
      <c r="E71" s="4" t="s">
        <v>25</v>
      </c>
      <c r="F71" s="4" t="s">
        <v>25</v>
      </c>
      <c r="G71" s="4" t="s">
        <v>25</v>
      </c>
      <c r="H71" s="4" t="s">
        <v>37</v>
      </c>
      <c r="I71" s="5">
        <v>44774</v>
      </c>
      <c r="J71" s="6">
        <v>0</v>
      </c>
      <c r="K71" s="6">
        <v>0</v>
      </c>
      <c r="L71" s="6">
        <v>2.9039999999999999</v>
      </c>
      <c r="M71" s="6">
        <v>2.9039999999999999</v>
      </c>
      <c r="N71" s="6">
        <v>2.9039999999999999</v>
      </c>
      <c r="O71" s="6">
        <v>2.9039999999999999</v>
      </c>
      <c r="P71" s="6">
        <v>0</v>
      </c>
      <c r="Q71" s="4" t="s">
        <v>26</v>
      </c>
      <c r="R71" s="4">
        <v>0</v>
      </c>
      <c r="S71" s="6">
        <v>0</v>
      </c>
      <c r="T71" s="6">
        <v>32</v>
      </c>
      <c r="U71" s="6">
        <v>34</v>
      </c>
      <c r="V71" s="6">
        <f>IF(ISERROR(VLOOKUP($S$71,'TAR FIN'!$A$1:$O$85,15,0)),0,VLOOKUP($S$71,'TAR FIN'!$A$1:$O$85,15,0))</f>
        <v>0</v>
      </c>
      <c r="W71" s="6">
        <f>IF(ISERROR(VLOOKUP($T$71,'TAR FIN'!$A$1:$O$85,15,0)),0,VLOOKUP($T$71,'TAR FIN'!$A$1:$O$85,15,0))</f>
        <v>2859.84</v>
      </c>
      <c r="X71" s="6">
        <f>IF(ISERROR(VLOOKUP($U$71,'TAR FIN'!$A$1:$O$85,15,0)),0,VLOOKUP($U$71,'TAR FIN'!$A$1:$O$85,15,0))</f>
        <v>119.97</v>
      </c>
      <c r="Y71" s="6"/>
      <c r="Z71" s="6">
        <f ca="1">('TUSD BE'!$AM$11+'TUSD BF'!$AM$11+'TUSD CVA'!$AM$11)*1</f>
        <v>2926.3194707169641</v>
      </c>
      <c r="AA71" s="6">
        <f>('TE BE'!$AB$5+'TE BF'!$AB$5+'TE CVA'!$AB$5)*1</f>
        <v>122.58638016056723</v>
      </c>
      <c r="AB71" s="6">
        <f>$K$71*$V$71</f>
        <v>0</v>
      </c>
      <c r="AC71" s="6">
        <f>$M$71*$W$71</f>
        <v>8304.9753600000004</v>
      </c>
      <c r="AD71" s="6">
        <f>$O$71*$X$71</f>
        <v>348.39287999999999</v>
      </c>
      <c r="AE71" s="6">
        <f>$K$71*$Y$71</f>
        <v>0</v>
      </c>
      <c r="AF71" s="6">
        <f ca="1">$M$71*$Z$71</f>
        <v>8498.0317429620627</v>
      </c>
      <c r="AG71" s="6">
        <f>$O$71*$AA$71</f>
        <v>355.99084798628724</v>
      </c>
    </row>
    <row r="72" spans="1:33" ht="11.25" customHeight="1" x14ac:dyDescent="0.3">
      <c r="A72" s="4" t="s">
        <v>28</v>
      </c>
      <c r="B72" s="4" t="s">
        <v>35</v>
      </c>
      <c r="C72" s="4" t="s">
        <v>36</v>
      </c>
      <c r="D72" s="4" t="s">
        <v>43</v>
      </c>
      <c r="E72" s="4" t="s">
        <v>25</v>
      </c>
      <c r="F72" s="4" t="s">
        <v>25</v>
      </c>
      <c r="G72" s="4" t="s">
        <v>25</v>
      </c>
      <c r="H72" s="4" t="s">
        <v>38</v>
      </c>
      <c r="I72" s="5">
        <v>44593</v>
      </c>
      <c r="J72" s="6">
        <v>0</v>
      </c>
      <c r="K72" s="53">
        <v>0</v>
      </c>
      <c r="L72" s="6">
        <v>4.3380000000000001</v>
      </c>
      <c r="M72" s="53">
        <v>4.3380000000000001</v>
      </c>
      <c r="N72" s="6">
        <v>4.3380000000000001</v>
      </c>
      <c r="O72" s="53">
        <v>4.3380000000000001</v>
      </c>
      <c r="P72" s="6">
        <v>0</v>
      </c>
      <c r="Q72" s="4" t="s">
        <v>26</v>
      </c>
      <c r="R72" s="4">
        <v>0</v>
      </c>
      <c r="S72" s="6">
        <v>0</v>
      </c>
      <c r="T72" s="6">
        <v>10</v>
      </c>
      <c r="U72" s="6">
        <v>40</v>
      </c>
      <c r="V72" s="53">
        <f>IF(ISERROR(VLOOKUP($S$72,'TAR FIN'!$A$1:$O$85,15,0)),0,VLOOKUP($S$72,'TAR FIN'!$A$1:$O$85,15,0))</f>
        <v>0</v>
      </c>
      <c r="W72" s="53">
        <f>IF(ISERROR(VLOOKUP($T$72,'TAR FIN'!$A$1:$O$85,15,0)),0,VLOOKUP($T$72,'TAR FIN'!$A$1:$O$85,15,0))*(1-0.04)</f>
        <v>63.398400000000002</v>
      </c>
      <c r="X72" s="53">
        <f>IF(ISERROR(VLOOKUP($U$72,'TAR FIN'!$A$1:$O$85,15,0)),0,VLOOKUP($U$72,'TAR FIN'!$A$1:$O$85,15,0))*(1-0.04)</f>
        <v>115.1712</v>
      </c>
      <c r="Y72" s="53"/>
      <c r="Z72" s="53">
        <f ca="1">('TUSD BE'!$AM$12+'TUSD BF'!$AM$12+'TUSD CVA'!$AM$12)*1*(1-0.02)</f>
        <v>99.036971870510882</v>
      </c>
      <c r="AA72" s="53">
        <f>('TE BE'!$AB$6+'TE BF'!$AB$6+'TE CVA'!$AB$6)*1*(1-0.02)</f>
        <v>120.13465255735588</v>
      </c>
      <c r="AB72" s="6">
        <f>$K$72*$V$72</f>
        <v>0</v>
      </c>
      <c r="AC72" s="6">
        <f>$M$72*$W$72</f>
        <v>275.02225920000001</v>
      </c>
      <c r="AD72" s="6">
        <f>$O$72*$X$72</f>
        <v>499.61266560000001</v>
      </c>
      <c r="AE72" s="6">
        <f>$K$72*$Y$72</f>
        <v>0</v>
      </c>
      <c r="AF72" s="6">
        <f ca="1">$M$72*$Z$72</f>
        <v>429.6223839742762</v>
      </c>
      <c r="AG72" s="6">
        <f>$O$72*$AA$72</f>
        <v>521.14412279380986</v>
      </c>
    </row>
    <row r="73" spans="1:33" ht="11.25" customHeight="1" x14ac:dyDescent="0.3">
      <c r="A73" s="4" t="s">
        <v>28</v>
      </c>
      <c r="B73" s="4" t="s">
        <v>35</v>
      </c>
      <c r="C73" s="4" t="s">
        <v>36</v>
      </c>
      <c r="D73" s="4" t="s">
        <v>43</v>
      </c>
      <c r="E73" s="4" t="s">
        <v>25</v>
      </c>
      <c r="F73" s="4" t="s">
        <v>25</v>
      </c>
      <c r="G73" s="4" t="s">
        <v>25</v>
      </c>
      <c r="H73" s="4" t="s">
        <v>38</v>
      </c>
      <c r="I73" s="5">
        <v>44621</v>
      </c>
      <c r="J73" s="6">
        <v>0</v>
      </c>
      <c r="K73" s="53">
        <v>0</v>
      </c>
      <c r="L73" s="6">
        <v>1.331</v>
      </c>
      <c r="M73" s="53">
        <v>1.331</v>
      </c>
      <c r="N73" s="6">
        <v>1.331</v>
      </c>
      <c r="O73" s="53">
        <v>1.331</v>
      </c>
      <c r="P73" s="6">
        <v>0</v>
      </c>
      <c r="Q73" s="4" t="s">
        <v>26</v>
      </c>
      <c r="R73" s="4">
        <v>0</v>
      </c>
      <c r="S73" s="6">
        <v>0</v>
      </c>
      <c r="T73" s="6">
        <v>10</v>
      </c>
      <c r="U73" s="6">
        <v>40</v>
      </c>
      <c r="V73" s="53">
        <f>IF(ISERROR(VLOOKUP($S$73,'TAR FIN'!$A$1:$O$85,15,0)),0,VLOOKUP($S$73,'TAR FIN'!$A$1:$O$85,15,0))</f>
        <v>0</v>
      </c>
      <c r="W73" s="53">
        <f>IF(ISERROR(VLOOKUP($T$73,'TAR FIN'!$A$1:$O$85,15,0)),0,VLOOKUP($T$73,'TAR FIN'!$A$1:$O$85,15,0))*(1-0.04)</f>
        <v>63.398400000000002</v>
      </c>
      <c r="X73" s="53">
        <f>IF(ISERROR(VLOOKUP($U$73,'TAR FIN'!$A$1:$O$85,15,0)),0,VLOOKUP($U$73,'TAR FIN'!$A$1:$O$85,15,0))*(1-0.04)</f>
        <v>115.1712</v>
      </c>
      <c r="Y73" s="53"/>
      <c r="Z73" s="53">
        <f ca="1">('TUSD BE'!$AM$12+'TUSD BF'!$AM$12+'TUSD CVA'!$AM$12)*1*(1-0.02)</f>
        <v>99.036971870510882</v>
      </c>
      <c r="AA73" s="53">
        <f>('TE BE'!$AB$6+'TE BF'!$AB$6+'TE CVA'!$AB$6)*1*(1-0.02)</f>
        <v>120.13465255735588</v>
      </c>
      <c r="AB73" s="6">
        <f>$K$73*$V$73</f>
        <v>0</v>
      </c>
      <c r="AC73" s="6">
        <f>$M$73*$W$73</f>
        <v>84.383270400000001</v>
      </c>
      <c r="AD73" s="6">
        <f>$O$73*$X$73</f>
        <v>153.29286719999999</v>
      </c>
      <c r="AE73" s="6">
        <f>$K$73*$Y$73</f>
        <v>0</v>
      </c>
      <c r="AF73" s="6">
        <f ca="1">$M$73*$Z$73</f>
        <v>131.81820955964997</v>
      </c>
      <c r="AG73" s="6">
        <f>$O$73*$AA$73</f>
        <v>159.89922255384067</v>
      </c>
    </row>
    <row r="74" spans="1:33" ht="11.25" customHeight="1" x14ac:dyDescent="0.3">
      <c r="A74" s="4" t="s">
        <v>28</v>
      </c>
      <c r="B74" s="4" t="s">
        <v>35</v>
      </c>
      <c r="C74" s="4" t="s">
        <v>36</v>
      </c>
      <c r="D74" s="4" t="s">
        <v>43</v>
      </c>
      <c r="E74" s="4" t="s">
        <v>25</v>
      </c>
      <c r="F74" s="4" t="s">
        <v>25</v>
      </c>
      <c r="G74" s="4" t="s">
        <v>25</v>
      </c>
      <c r="H74" s="4" t="s">
        <v>25</v>
      </c>
      <c r="I74" s="5">
        <v>44593</v>
      </c>
      <c r="J74" s="6">
        <v>41</v>
      </c>
      <c r="K74" s="53">
        <v>41</v>
      </c>
      <c r="L74" s="6">
        <v>0</v>
      </c>
      <c r="M74" s="53">
        <v>0</v>
      </c>
      <c r="N74" s="6">
        <v>0</v>
      </c>
      <c r="O74" s="53">
        <v>0</v>
      </c>
      <c r="P74" s="6">
        <v>1</v>
      </c>
      <c r="Q74" s="4" t="s">
        <v>26</v>
      </c>
      <c r="R74" s="4">
        <v>0</v>
      </c>
      <c r="S74" s="6">
        <v>27</v>
      </c>
      <c r="T74" s="6">
        <v>0</v>
      </c>
      <c r="U74" s="6">
        <v>0</v>
      </c>
      <c r="V74" s="53">
        <f>IF(ISERROR(VLOOKUP($S$74,'TAR FIN'!$A$1:$O$85,15,0)),0,VLOOKUP($S$74,'TAR FIN'!$A$1:$O$85,15,0))*(1-0.04)</f>
        <v>39.503999999999998</v>
      </c>
      <c r="W74" s="53">
        <f>IF(ISERROR(VLOOKUP($T$74,'TAR FIN'!$A$1:$O$85,15,0)),0,VLOOKUP($T$74,'TAR FIN'!$A$1:$O$85,15,0))</f>
        <v>0</v>
      </c>
      <c r="X74" s="53">
        <f>IF(ISERROR(VLOOKUP($U$74,'TAR FIN'!$A$1:$O$85,15,0)),0,VLOOKUP($U$74,'TAR FIN'!$A$1:$O$85,15,0))</f>
        <v>0</v>
      </c>
      <c r="Y74" s="53">
        <f ca="1">('TUSD BE'!$AM$10+'TUSD BF'!$AM$10+'TUSD CVA'!$AM$10)*1*(1-0.02)</f>
        <v>40.617792195269701</v>
      </c>
      <c r="Z74" s="53"/>
      <c r="AA74" s="53"/>
      <c r="AB74" s="6">
        <f>$K$74*$V$74</f>
        <v>1619.664</v>
      </c>
      <c r="AC74" s="6">
        <f>$M$74*$W$74</f>
        <v>0</v>
      </c>
      <c r="AD74" s="6">
        <f>$O$74*$X$74</f>
        <v>0</v>
      </c>
      <c r="AE74" s="6">
        <f ca="1">$K$74*$Y$74</f>
        <v>1665.3294800060578</v>
      </c>
      <c r="AF74" s="6">
        <f>$M$74*$Z$74</f>
        <v>0</v>
      </c>
      <c r="AG74" s="6">
        <f>$O$74*$AA$74</f>
        <v>0</v>
      </c>
    </row>
    <row r="75" spans="1:33" ht="11.25" customHeight="1" x14ac:dyDescent="0.3">
      <c r="A75" s="4" t="s">
        <v>28</v>
      </c>
      <c r="B75" s="4" t="s">
        <v>35</v>
      </c>
      <c r="C75" s="4" t="s">
        <v>36</v>
      </c>
      <c r="D75" s="4" t="s">
        <v>43</v>
      </c>
      <c r="E75" s="4" t="s">
        <v>25</v>
      </c>
      <c r="F75" s="4" t="s">
        <v>25</v>
      </c>
      <c r="G75" s="4" t="s">
        <v>25</v>
      </c>
      <c r="H75" s="4" t="s">
        <v>25</v>
      </c>
      <c r="I75" s="5">
        <v>44621</v>
      </c>
      <c r="J75" s="6">
        <v>32</v>
      </c>
      <c r="K75" s="53">
        <v>32</v>
      </c>
      <c r="L75" s="6">
        <v>0</v>
      </c>
      <c r="M75" s="53">
        <v>0</v>
      </c>
      <c r="N75" s="6">
        <v>0</v>
      </c>
      <c r="O75" s="53">
        <v>0</v>
      </c>
      <c r="P75" s="6">
        <v>1</v>
      </c>
      <c r="Q75" s="4" t="s">
        <v>26</v>
      </c>
      <c r="R75" s="4">
        <v>0</v>
      </c>
      <c r="S75" s="6">
        <v>27</v>
      </c>
      <c r="T75" s="6">
        <v>0</v>
      </c>
      <c r="U75" s="6">
        <v>0</v>
      </c>
      <c r="V75" s="53">
        <f>IF(ISERROR(VLOOKUP($S$75,'TAR FIN'!$A$1:$O$85,15,0)),0,VLOOKUP($S$75,'TAR FIN'!$A$1:$O$85,15,0))*(1-0.04)</f>
        <v>39.503999999999998</v>
      </c>
      <c r="W75" s="53">
        <f>IF(ISERROR(VLOOKUP($T$75,'TAR FIN'!$A$1:$O$85,15,0)),0,VLOOKUP($T$75,'TAR FIN'!$A$1:$O$85,15,0))</f>
        <v>0</v>
      </c>
      <c r="X75" s="53">
        <f>IF(ISERROR(VLOOKUP($U$75,'TAR FIN'!$A$1:$O$85,15,0)),0,VLOOKUP($U$75,'TAR FIN'!$A$1:$O$85,15,0))</f>
        <v>0</v>
      </c>
      <c r="Y75" s="53">
        <f ca="1">('TUSD BE'!$AM$10+'TUSD BF'!$AM$10+'TUSD CVA'!$AM$10)*1*(1-0.02)</f>
        <v>40.617792195269701</v>
      </c>
      <c r="Z75" s="53"/>
      <c r="AA75" s="53"/>
      <c r="AB75" s="6">
        <f>$K$75*$V$75</f>
        <v>1264.1279999999999</v>
      </c>
      <c r="AC75" s="6">
        <f>$M$75*$W$75</f>
        <v>0</v>
      </c>
      <c r="AD75" s="6">
        <f>$O$75*$X$75</f>
        <v>0</v>
      </c>
      <c r="AE75" s="6">
        <f ca="1">$K$75*$Y$75</f>
        <v>1299.7693502486304</v>
      </c>
      <c r="AF75" s="6">
        <f>$M$75*$Z$75</f>
        <v>0</v>
      </c>
      <c r="AG75" s="6">
        <f>$O$75*$AA$75</f>
        <v>0</v>
      </c>
    </row>
    <row r="76" spans="1:33" ht="11.25" customHeight="1" x14ac:dyDescent="0.3">
      <c r="A76" s="4" t="s">
        <v>28</v>
      </c>
      <c r="B76" s="4" t="s">
        <v>35</v>
      </c>
      <c r="C76" s="4" t="s">
        <v>36</v>
      </c>
      <c r="D76" s="4" t="s">
        <v>43</v>
      </c>
      <c r="E76" s="4" t="s">
        <v>25</v>
      </c>
      <c r="F76" s="4" t="s">
        <v>25</v>
      </c>
      <c r="G76" s="4" t="s">
        <v>25</v>
      </c>
      <c r="H76" s="4" t="s">
        <v>37</v>
      </c>
      <c r="I76" s="5">
        <v>44593</v>
      </c>
      <c r="J76" s="6">
        <v>0</v>
      </c>
      <c r="K76" s="53">
        <v>0</v>
      </c>
      <c r="L76" s="6">
        <v>0.223</v>
      </c>
      <c r="M76" s="53">
        <v>0.223</v>
      </c>
      <c r="N76" s="6">
        <v>0.223</v>
      </c>
      <c r="O76" s="53">
        <v>0.223</v>
      </c>
      <c r="P76" s="6">
        <v>0</v>
      </c>
      <c r="Q76" s="4" t="s">
        <v>26</v>
      </c>
      <c r="R76" s="4">
        <v>0</v>
      </c>
      <c r="S76" s="6">
        <v>0</v>
      </c>
      <c r="T76" s="6">
        <v>32</v>
      </c>
      <c r="U76" s="6">
        <v>34</v>
      </c>
      <c r="V76" s="53">
        <f>IF(ISERROR(VLOOKUP($S$76,'TAR FIN'!$A$1:$O$85,15,0)),0,VLOOKUP($S$76,'TAR FIN'!$A$1:$O$85,15,0))</f>
        <v>0</v>
      </c>
      <c r="W76" s="53">
        <f>IF(ISERROR(VLOOKUP($T$76,'TAR FIN'!$A$1:$O$85,15,0)),0,VLOOKUP($T$76,'TAR FIN'!$A$1:$O$85,15,0))*(1-0.04)</f>
        <v>2745.4463999999998</v>
      </c>
      <c r="X76" s="53">
        <f>IF(ISERROR(VLOOKUP($U$76,'TAR FIN'!$A$1:$O$85,15,0)),0,VLOOKUP($U$76,'TAR FIN'!$A$1:$O$85,15,0))*(1-0.04)</f>
        <v>115.1712</v>
      </c>
      <c r="Y76" s="53"/>
      <c r="Z76" s="53">
        <f ca="1">('TUSD BE'!$AM$11+'TUSD BF'!$AM$11+'TUSD CVA'!$AM$11)*1*(1-0.02)</f>
        <v>2867.7930813026246</v>
      </c>
      <c r="AA76" s="53">
        <f>('TE BE'!$AB$5+'TE BF'!$AB$5+'TE CVA'!$AB$5)*1*(1-0.02)</f>
        <v>120.13465255735588</v>
      </c>
      <c r="AB76" s="6">
        <f>$K$76*$V$76</f>
        <v>0</v>
      </c>
      <c r="AC76" s="6">
        <f>$M$76*$W$76</f>
        <v>612.23454719999995</v>
      </c>
      <c r="AD76" s="6">
        <f>$O$76*$X$76</f>
        <v>25.6831776</v>
      </c>
      <c r="AE76" s="6">
        <f>$K$76*$Y$76</f>
        <v>0</v>
      </c>
      <c r="AF76" s="6">
        <f ca="1">$M$76*$Z$76</f>
        <v>639.51785713048525</v>
      </c>
      <c r="AG76" s="6">
        <f>$O$76*$AA$76</f>
        <v>26.790027520290362</v>
      </c>
    </row>
    <row r="77" spans="1:33" ht="11.25" customHeight="1" x14ac:dyDescent="0.3">
      <c r="A77" s="4" t="s">
        <v>28</v>
      </c>
      <c r="B77" s="4" t="s">
        <v>35</v>
      </c>
      <c r="C77" s="4" t="s">
        <v>36</v>
      </c>
      <c r="D77" s="4" t="s">
        <v>43</v>
      </c>
      <c r="E77" s="4" t="s">
        <v>25</v>
      </c>
      <c r="F77" s="4" t="s">
        <v>25</v>
      </c>
      <c r="G77" s="4" t="s">
        <v>25</v>
      </c>
      <c r="H77" s="4" t="s">
        <v>37</v>
      </c>
      <c r="I77" s="5">
        <v>44621</v>
      </c>
      <c r="J77" s="6">
        <v>0</v>
      </c>
      <c r="K77" s="53">
        <v>0</v>
      </c>
      <c r="L77" s="6">
        <v>0.246</v>
      </c>
      <c r="M77" s="53">
        <v>0.246</v>
      </c>
      <c r="N77" s="6">
        <v>0.246</v>
      </c>
      <c r="O77" s="53">
        <v>0.246</v>
      </c>
      <c r="P77" s="6">
        <v>0</v>
      </c>
      <c r="Q77" s="4" t="s">
        <v>26</v>
      </c>
      <c r="R77" s="4">
        <v>0</v>
      </c>
      <c r="S77" s="6">
        <v>0</v>
      </c>
      <c r="T77" s="6">
        <v>32</v>
      </c>
      <c r="U77" s="6">
        <v>34</v>
      </c>
      <c r="V77" s="53">
        <f>IF(ISERROR(VLOOKUP($S$77,'TAR FIN'!$A$1:$O$85,15,0)),0,VLOOKUP($S$77,'TAR FIN'!$A$1:$O$85,15,0))</f>
        <v>0</v>
      </c>
      <c r="W77" s="53">
        <f>IF(ISERROR(VLOOKUP($T$77,'TAR FIN'!$A$1:$O$85,15,0)),0,VLOOKUP($T$77,'TAR FIN'!$A$1:$O$85,15,0))*(1-0.04)</f>
        <v>2745.4463999999998</v>
      </c>
      <c r="X77" s="53">
        <f>IF(ISERROR(VLOOKUP($U$77,'TAR FIN'!$A$1:$O$85,15,0)),0,VLOOKUP($U$77,'TAR FIN'!$A$1:$O$85,15,0))*(1-0.04)</f>
        <v>115.1712</v>
      </c>
      <c r="Y77" s="53"/>
      <c r="Z77" s="53">
        <f ca="1">('TUSD BE'!$AM$11+'TUSD BF'!$AM$11+'TUSD CVA'!$AM$11)*1*(1-0.02)</f>
        <v>2867.7930813026246</v>
      </c>
      <c r="AA77" s="53">
        <f>('TE BE'!$AB$5+'TE BF'!$AB$5+'TE CVA'!$AB$5)*1*(1-0.02)</f>
        <v>120.13465255735588</v>
      </c>
      <c r="AB77" s="6">
        <f>$K$77*$V$77</f>
        <v>0</v>
      </c>
      <c r="AC77" s="6">
        <f>$M$77*$W$77</f>
        <v>675.37981439999999</v>
      </c>
      <c r="AD77" s="6">
        <f>$O$77*$X$77</f>
        <v>28.3321152</v>
      </c>
      <c r="AE77" s="6">
        <f>$K$77*$Y$77</f>
        <v>0</v>
      </c>
      <c r="AF77" s="6">
        <f ca="1">$M$77*$Z$77</f>
        <v>705.47709800044561</v>
      </c>
      <c r="AG77" s="6">
        <f>$O$77*$AA$77</f>
        <v>29.553124529109546</v>
      </c>
    </row>
    <row r="78" spans="1:33" ht="11.25" customHeight="1" x14ac:dyDescent="0.3">
      <c r="A78" s="4" t="s">
        <v>21</v>
      </c>
      <c r="B78" s="4" t="s">
        <v>35</v>
      </c>
      <c r="C78" s="4" t="s">
        <v>36</v>
      </c>
      <c r="D78" s="4" t="s">
        <v>48</v>
      </c>
      <c r="E78" s="4" t="s">
        <v>49</v>
      </c>
      <c r="F78" s="4" t="s">
        <v>25</v>
      </c>
      <c r="G78" s="4" t="s">
        <v>25</v>
      </c>
      <c r="H78" s="4" t="s">
        <v>38</v>
      </c>
      <c r="I78" s="5">
        <v>44501</v>
      </c>
      <c r="J78" s="6">
        <v>0</v>
      </c>
      <c r="K78" s="53">
        <v>0</v>
      </c>
      <c r="L78" s="6">
        <v>40.524999999999999</v>
      </c>
      <c r="M78" s="53">
        <v>40.524999999999999</v>
      </c>
      <c r="N78" s="6">
        <v>40.524999999999999</v>
      </c>
      <c r="O78" s="53">
        <v>40.524999999999999</v>
      </c>
      <c r="P78" s="6">
        <v>0</v>
      </c>
      <c r="Q78" s="4" t="s">
        <v>26</v>
      </c>
      <c r="R78" s="4">
        <v>0</v>
      </c>
      <c r="S78" s="6">
        <v>0</v>
      </c>
      <c r="T78" s="6">
        <v>10</v>
      </c>
      <c r="U78" s="6">
        <v>40</v>
      </c>
      <c r="V78" s="53">
        <f>IF(ISERROR(VLOOKUP($S$78,'TAR FIN'!$A$1:$O$85,15,0)),0,VLOOKUP($S$78,'TAR FIN'!$A$1:$O$85,15,0))</f>
        <v>0</v>
      </c>
      <c r="W78" s="53">
        <f>IF(ISERROR(VLOOKUP($T$78,'TAR FIN'!$A$1:$O$85,15,0)),0,VLOOKUP($T$78,'TAR FIN'!$A$1:$O$85,15,0))*(1-0.06)</f>
        <v>62.077600000000004</v>
      </c>
      <c r="X78" s="53">
        <f>IF(ISERROR(VLOOKUP($U$78,'TAR FIN'!$A$1:$O$85,15,0)),0,VLOOKUP($U$78,'TAR FIN'!$A$1:$O$85,15,0))*(1-0.06)</f>
        <v>112.7718</v>
      </c>
      <c r="Y78" s="53"/>
      <c r="Z78" s="53">
        <f ca="1">('TUSD BE'!$AM$12+'TUSD BF'!$AM$12+'TUSD CVA'!$AM$12)*1*(1-0.03)</f>
        <v>98.026390524893429</v>
      </c>
      <c r="AA78" s="53">
        <f>('TE BE'!$AB$6+'TE BF'!$AB$6+'TE CVA'!$AB$6)*1*(1-0.03)</f>
        <v>118.90878875575021</v>
      </c>
      <c r="AB78" s="6">
        <f>$K$78*$V$78</f>
        <v>0</v>
      </c>
      <c r="AC78" s="6">
        <f>$M$78*$W$78</f>
        <v>2515.6947399999999</v>
      </c>
      <c r="AD78" s="6">
        <f>$O$78*$X$78</f>
        <v>4570.0771949999998</v>
      </c>
      <c r="AE78" s="6">
        <f>$K$78*$Y$78</f>
        <v>0</v>
      </c>
      <c r="AF78" s="6">
        <f ca="1">$M$78*$Z$78</f>
        <v>3972.5194760213062</v>
      </c>
      <c r="AG78" s="6">
        <f>$O$78*$AA$78</f>
        <v>4818.7786643267773</v>
      </c>
    </row>
    <row r="79" spans="1:33" ht="11.25" customHeight="1" x14ac:dyDescent="0.3">
      <c r="A79" s="4" t="s">
        <v>21</v>
      </c>
      <c r="B79" s="4" t="s">
        <v>35</v>
      </c>
      <c r="C79" s="4" t="s">
        <v>36</v>
      </c>
      <c r="D79" s="4" t="s">
        <v>48</v>
      </c>
      <c r="E79" s="4" t="s">
        <v>49</v>
      </c>
      <c r="F79" s="4" t="s">
        <v>25</v>
      </c>
      <c r="G79" s="4" t="s">
        <v>25</v>
      </c>
      <c r="H79" s="4" t="s">
        <v>38</v>
      </c>
      <c r="I79" s="5">
        <v>44531</v>
      </c>
      <c r="J79" s="6">
        <v>0</v>
      </c>
      <c r="K79" s="53">
        <v>0</v>
      </c>
      <c r="L79" s="6">
        <v>44.106000000000002</v>
      </c>
      <c r="M79" s="53">
        <v>44.106000000000002</v>
      </c>
      <c r="N79" s="6">
        <v>44.106000000000002</v>
      </c>
      <c r="O79" s="53">
        <v>44.106000000000002</v>
      </c>
      <c r="P79" s="6">
        <v>0</v>
      </c>
      <c r="Q79" s="4" t="s">
        <v>26</v>
      </c>
      <c r="R79" s="4">
        <v>0</v>
      </c>
      <c r="S79" s="6">
        <v>0</v>
      </c>
      <c r="T79" s="6">
        <v>10</v>
      </c>
      <c r="U79" s="6">
        <v>40</v>
      </c>
      <c r="V79" s="53">
        <f>IF(ISERROR(VLOOKUP($S$79,'TAR FIN'!$A$1:$O$85,15,0)),0,VLOOKUP($S$79,'TAR FIN'!$A$1:$O$85,15,0))</f>
        <v>0</v>
      </c>
      <c r="W79" s="53">
        <f>IF(ISERROR(VLOOKUP($T$79,'TAR FIN'!$A$1:$O$85,15,0)),0,VLOOKUP($T$79,'TAR FIN'!$A$1:$O$85,15,0))*(1-0.06)</f>
        <v>62.077600000000004</v>
      </c>
      <c r="X79" s="53">
        <f>IF(ISERROR(VLOOKUP($U$79,'TAR FIN'!$A$1:$O$85,15,0)),0,VLOOKUP($U$79,'TAR FIN'!$A$1:$O$85,15,0))*(1-0.06)</f>
        <v>112.7718</v>
      </c>
      <c r="Y79" s="53"/>
      <c r="Z79" s="53">
        <f ca="1">('TUSD BE'!$AM$12+'TUSD BF'!$AM$12+'TUSD CVA'!$AM$12)*1*(1-0.03)</f>
        <v>98.026390524893429</v>
      </c>
      <c r="AA79" s="53">
        <f>('TE BE'!$AB$6+'TE BF'!$AB$6+'TE CVA'!$AB$6)*1*(1-0.03)</f>
        <v>118.90878875575021</v>
      </c>
      <c r="AB79" s="6">
        <f>$K$79*$V$79</f>
        <v>0</v>
      </c>
      <c r="AC79" s="6">
        <f>$M$79*$W$79</f>
        <v>2737.9946256000003</v>
      </c>
      <c r="AD79" s="6">
        <f>$O$79*$X$79</f>
        <v>4973.9130107999999</v>
      </c>
      <c r="AE79" s="6">
        <f>$K$79*$Y$79</f>
        <v>0</v>
      </c>
      <c r="AF79" s="6">
        <f ca="1">$M$79*$Z$79</f>
        <v>4323.55198049095</v>
      </c>
      <c r="AG79" s="6">
        <f>$O$79*$AA$79</f>
        <v>5244.5910368611185</v>
      </c>
    </row>
    <row r="80" spans="1:33" ht="11.25" customHeight="1" x14ac:dyDescent="0.3">
      <c r="A80" s="4" t="s">
        <v>21</v>
      </c>
      <c r="B80" s="4" t="s">
        <v>35</v>
      </c>
      <c r="C80" s="4" t="s">
        <v>36</v>
      </c>
      <c r="D80" s="4" t="s">
        <v>48</v>
      </c>
      <c r="E80" s="4" t="s">
        <v>49</v>
      </c>
      <c r="F80" s="4" t="s">
        <v>25</v>
      </c>
      <c r="G80" s="4" t="s">
        <v>25</v>
      </c>
      <c r="H80" s="4" t="s">
        <v>38</v>
      </c>
      <c r="I80" s="5">
        <v>44562</v>
      </c>
      <c r="J80" s="6">
        <v>0</v>
      </c>
      <c r="K80" s="53">
        <v>0</v>
      </c>
      <c r="L80" s="6">
        <v>47.715000000000003</v>
      </c>
      <c r="M80" s="53">
        <v>47.715000000000003</v>
      </c>
      <c r="N80" s="6">
        <v>47.715000000000003</v>
      </c>
      <c r="O80" s="53">
        <v>47.715000000000003</v>
      </c>
      <c r="P80" s="6">
        <v>0</v>
      </c>
      <c r="Q80" s="4" t="s">
        <v>26</v>
      </c>
      <c r="R80" s="4">
        <v>0</v>
      </c>
      <c r="S80" s="6">
        <v>0</v>
      </c>
      <c r="T80" s="6">
        <v>10</v>
      </c>
      <c r="U80" s="6">
        <v>40</v>
      </c>
      <c r="V80" s="53">
        <f>IF(ISERROR(VLOOKUP($S$80,'TAR FIN'!$A$1:$O$85,15,0)),0,VLOOKUP($S$80,'TAR FIN'!$A$1:$O$85,15,0))</f>
        <v>0</v>
      </c>
      <c r="W80" s="53">
        <f>IF(ISERROR(VLOOKUP($T$80,'TAR FIN'!$A$1:$O$85,15,0)),0,VLOOKUP($T$80,'TAR FIN'!$A$1:$O$85,15,0))*(1-0.06)</f>
        <v>62.077600000000004</v>
      </c>
      <c r="X80" s="53">
        <f>IF(ISERROR(VLOOKUP($U$80,'TAR FIN'!$A$1:$O$85,15,0)),0,VLOOKUP($U$80,'TAR FIN'!$A$1:$O$85,15,0))*(1-0.06)</f>
        <v>112.7718</v>
      </c>
      <c r="Y80" s="53"/>
      <c r="Z80" s="53">
        <f ca="1">('TUSD BE'!$AM$12+'TUSD BF'!$AM$12+'TUSD CVA'!$AM$12)*1*(1-0.03)</f>
        <v>98.026390524893429</v>
      </c>
      <c r="AA80" s="53">
        <f>('TE BE'!$AB$6+'TE BF'!$AB$6+'TE CVA'!$AB$6)*1*(1-0.03)</f>
        <v>118.90878875575021</v>
      </c>
      <c r="AB80" s="6">
        <f>$K$80*$V$80</f>
        <v>0</v>
      </c>
      <c r="AC80" s="6">
        <f>$M$80*$W$80</f>
        <v>2962.0326840000002</v>
      </c>
      <c r="AD80" s="6">
        <f>$O$80*$X$80</f>
        <v>5380.9064370000006</v>
      </c>
      <c r="AE80" s="6">
        <f>$K$80*$Y$80</f>
        <v>0</v>
      </c>
      <c r="AF80" s="6">
        <f ca="1">$M$80*$Z$80</f>
        <v>4677.3292238952899</v>
      </c>
      <c r="AG80" s="6">
        <f>$O$80*$AA$80</f>
        <v>5673.7328554806218</v>
      </c>
    </row>
    <row r="81" spans="1:33" ht="11.25" customHeight="1" x14ac:dyDescent="0.3">
      <c r="A81" s="4" t="s">
        <v>21</v>
      </c>
      <c r="B81" s="4" t="s">
        <v>35</v>
      </c>
      <c r="C81" s="4" t="s">
        <v>36</v>
      </c>
      <c r="D81" s="4" t="s">
        <v>48</v>
      </c>
      <c r="E81" s="4" t="s">
        <v>49</v>
      </c>
      <c r="F81" s="4" t="s">
        <v>25</v>
      </c>
      <c r="G81" s="4" t="s">
        <v>25</v>
      </c>
      <c r="H81" s="4" t="s">
        <v>38</v>
      </c>
      <c r="I81" s="5">
        <v>44593</v>
      </c>
      <c r="J81" s="6">
        <v>0</v>
      </c>
      <c r="K81" s="53">
        <v>0</v>
      </c>
      <c r="L81" s="6">
        <v>27.297999999999998</v>
      </c>
      <c r="M81" s="53">
        <v>27.297999999999998</v>
      </c>
      <c r="N81" s="6">
        <v>27.297999999999998</v>
      </c>
      <c r="O81" s="53">
        <v>27.297999999999998</v>
      </c>
      <c r="P81" s="6">
        <v>0</v>
      </c>
      <c r="Q81" s="4" t="s">
        <v>26</v>
      </c>
      <c r="R81" s="4">
        <v>0</v>
      </c>
      <c r="S81" s="6">
        <v>0</v>
      </c>
      <c r="T81" s="6">
        <v>10</v>
      </c>
      <c r="U81" s="6">
        <v>40</v>
      </c>
      <c r="V81" s="53">
        <f>IF(ISERROR(VLOOKUP($S$81,'TAR FIN'!$A$1:$O$85,15,0)),0,VLOOKUP($S$81,'TAR FIN'!$A$1:$O$85,15,0))</f>
        <v>0</v>
      </c>
      <c r="W81" s="53">
        <f>IF(ISERROR(VLOOKUP($T$81,'TAR FIN'!$A$1:$O$85,15,0)),0,VLOOKUP($T$81,'TAR FIN'!$A$1:$O$85,15,0))*(1-0.06)</f>
        <v>62.077600000000004</v>
      </c>
      <c r="X81" s="53">
        <f>IF(ISERROR(VLOOKUP($U$81,'TAR FIN'!$A$1:$O$85,15,0)),0,VLOOKUP($U$81,'TAR FIN'!$A$1:$O$85,15,0))*(1-0.06)</f>
        <v>112.7718</v>
      </c>
      <c r="Y81" s="53"/>
      <c r="Z81" s="53">
        <f ca="1">('TUSD BE'!$AM$12+'TUSD BF'!$AM$12+'TUSD CVA'!$AM$12)*1*(1-0.03)</f>
        <v>98.026390524893429</v>
      </c>
      <c r="AA81" s="53">
        <f>('TE BE'!$AB$6+'TE BF'!$AB$6+'TE CVA'!$AB$6)*1*(1-0.03)</f>
        <v>118.90878875575021</v>
      </c>
      <c r="AB81" s="6">
        <f>$K$81*$V$81</f>
        <v>0</v>
      </c>
      <c r="AC81" s="6">
        <f>$M$81*$W$81</f>
        <v>1694.5943248000001</v>
      </c>
      <c r="AD81" s="6">
        <f>$O$81*$X$81</f>
        <v>3078.4445963999997</v>
      </c>
      <c r="AE81" s="6">
        <f>$K$81*$Y$81</f>
        <v>0</v>
      </c>
      <c r="AF81" s="6">
        <f ca="1">$M$81*$Z$81</f>
        <v>2675.9244085485407</v>
      </c>
      <c r="AG81" s="6">
        <f>$O$81*$AA$81</f>
        <v>3245.9721154544691</v>
      </c>
    </row>
    <row r="82" spans="1:33" ht="11.25" customHeight="1" x14ac:dyDescent="0.3">
      <c r="A82" s="4" t="s">
        <v>21</v>
      </c>
      <c r="B82" s="4" t="s">
        <v>35</v>
      </c>
      <c r="C82" s="4" t="s">
        <v>36</v>
      </c>
      <c r="D82" s="4" t="s">
        <v>48</v>
      </c>
      <c r="E82" s="4" t="s">
        <v>49</v>
      </c>
      <c r="F82" s="4" t="s">
        <v>25</v>
      </c>
      <c r="G82" s="4" t="s">
        <v>25</v>
      </c>
      <c r="H82" s="4" t="s">
        <v>38</v>
      </c>
      <c r="I82" s="5">
        <v>44621</v>
      </c>
      <c r="J82" s="6">
        <v>0</v>
      </c>
      <c r="K82" s="53">
        <v>0</v>
      </c>
      <c r="L82" s="6">
        <v>33.279000000000003</v>
      </c>
      <c r="M82" s="53">
        <v>33.279000000000003</v>
      </c>
      <c r="N82" s="6">
        <v>33.279000000000003</v>
      </c>
      <c r="O82" s="53">
        <v>33.279000000000003</v>
      </c>
      <c r="P82" s="6">
        <v>0</v>
      </c>
      <c r="Q82" s="4" t="s">
        <v>26</v>
      </c>
      <c r="R82" s="4">
        <v>0</v>
      </c>
      <c r="S82" s="6">
        <v>0</v>
      </c>
      <c r="T82" s="6">
        <v>10</v>
      </c>
      <c r="U82" s="6">
        <v>40</v>
      </c>
      <c r="V82" s="53">
        <f>IF(ISERROR(VLOOKUP($S$82,'TAR FIN'!$A$1:$O$85,15,0)),0,VLOOKUP($S$82,'TAR FIN'!$A$1:$O$85,15,0))</f>
        <v>0</v>
      </c>
      <c r="W82" s="53">
        <f>IF(ISERROR(VLOOKUP($T$82,'TAR FIN'!$A$1:$O$85,15,0)),0,VLOOKUP($T$82,'TAR FIN'!$A$1:$O$85,15,0))*(1-0.06)</f>
        <v>62.077600000000004</v>
      </c>
      <c r="X82" s="53">
        <f>IF(ISERROR(VLOOKUP($U$82,'TAR FIN'!$A$1:$O$85,15,0)),0,VLOOKUP($U$82,'TAR FIN'!$A$1:$O$85,15,0))*(1-0.06)</f>
        <v>112.7718</v>
      </c>
      <c r="Y82" s="53"/>
      <c r="Z82" s="53">
        <f ca="1">('TUSD BE'!$AM$12+'TUSD BF'!$AM$12+'TUSD CVA'!$AM$12)*1*(1-0.03)</f>
        <v>98.026390524893429</v>
      </c>
      <c r="AA82" s="53">
        <f>('TE BE'!$AB$6+'TE BF'!$AB$6+'TE CVA'!$AB$6)*1*(1-0.03)</f>
        <v>118.90878875575021</v>
      </c>
      <c r="AB82" s="6">
        <f>$K$82*$V$82</f>
        <v>0</v>
      </c>
      <c r="AC82" s="6">
        <f>$M$82*$W$82</f>
        <v>2065.8804504000004</v>
      </c>
      <c r="AD82" s="6">
        <f>$O$82*$X$82</f>
        <v>3752.9327322000004</v>
      </c>
      <c r="AE82" s="6">
        <f>$K$82*$Y$82</f>
        <v>0</v>
      </c>
      <c r="AF82" s="6">
        <f ca="1">$M$82*$Z$82</f>
        <v>3262.2202502779287</v>
      </c>
      <c r="AG82" s="6">
        <f>$O$82*$AA$82</f>
        <v>3957.1655810026118</v>
      </c>
    </row>
    <row r="83" spans="1:33" ht="11.25" customHeight="1" x14ac:dyDescent="0.3">
      <c r="A83" s="4" t="s">
        <v>21</v>
      </c>
      <c r="B83" s="4" t="s">
        <v>35</v>
      </c>
      <c r="C83" s="4" t="s">
        <v>36</v>
      </c>
      <c r="D83" s="4" t="s">
        <v>48</v>
      </c>
      <c r="E83" s="4" t="s">
        <v>49</v>
      </c>
      <c r="F83" s="4" t="s">
        <v>25</v>
      </c>
      <c r="G83" s="4" t="s">
        <v>25</v>
      </c>
      <c r="H83" s="4" t="s">
        <v>38</v>
      </c>
      <c r="I83" s="5">
        <v>44652</v>
      </c>
      <c r="J83" s="6">
        <v>0</v>
      </c>
      <c r="K83" s="53">
        <v>0</v>
      </c>
      <c r="L83" s="6">
        <v>32.734999999999999</v>
      </c>
      <c r="M83" s="53">
        <v>32.734999999999999</v>
      </c>
      <c r="N83" s="6">
        <v>32.734999999999999</v>
      </c>
      <c r="O83" s="53">
        <v>32.734999999999999</v>
      </c>
      <c r="P83" s="6">
        <v>0</v>
      </c>
      <c r="Q83" s="4" t="s">
        <v>26</v>
      </c>
      <c r="R83" s="4">
        <v>0</v>
      </c>
      <c r="S83" s="6">
        <v>0</v>
      </c>
      <c r="T83" s="6">
        <v>10</v>
      </c>
      <c r="U83" s="6">
        <v>40</v>
      </c>
      <c r="V83" s="53">
        <f>IF(ISERROR(VLOOKUP($S$83,'TAR FIN'!$A$1:$O$85,15,0)),0,VLOOKUP($S$83,'TAR FIN'!$A$1:$O$85,15,0))</f>
        <v>0</v>
      </c>
      <c r="W83" s="53">
        <f>IF(ISERROR(VLOOKUP($T$83,'TAR FIN'!$A$1:$O$85,15,0)),0,VLOOKUP($T$83,'TAR FIN'!$A$1:$O$85,15,0))*(1-0.06)</f>
        <v>62.077600000000004</v>
      </c>
      <c r="X83" s="53">
        <f>IF(ISERROR(VLOOKUP($U$83,'TAR FIN'!$A$1:$O$85,15,0)),0,VLOOKUP($U$83,'TAR FIN'!$A$1:$O$85,15,0))*(1-0.06)</f>
        <v>112.7718</v>
      </c>
      <c r="Y83" s="53"/>
      <c r="Z83" s="53">
        <f ca="1">('TUSD BE'!$AM$12+'TUSD BF'!$AM$12+'TUSD CVA'!$AM$12)*1*(1-0.03)</f>
        <v>98.026390524893429</v>
      </c>
      <c r="AA83" s="53">
        <f>('TE BE'!$AB$6+'TE BF'!$AB$6+'TE CVA'!$AB$6)*1*(1-0.03)</f>
        <v>118.90878875575021</v>
      </c>
      <c r="AB83" s="6">
        <f>$K$83*$V$83</f>
        <v>0</v>
      </c>
      <c r="AC83" s="6">
        <f>$M$83*$W$83</f>
        <v>2032.110236</v>
      </c>
      <c r="AD83" s="6">
        <f>$O$83*$X$83</f>
        <v>3691.5848729999998</v>
      </c>
      <c r="AE83" s="6">
        <f>$K$83*$Y$83</f>
        <v>0</v>
      </c>
      <c r="AF83" s="6">
        <f ca="1">$M$83*$Z$83</f>
        <v>3208.8938938323863</v>
      </c>
      <c r="AG83" s="6">
        <f>$O$83*$AA$83</f>
        <v>3892.4791999194831</v>
      </c>
    </row>
    <row r="84" spans="1:33" ht="11.25" customHeight="1" x14ac:dyDescent="0.3">
      <c r="A84" s="4" t="s">
        <v>21</v>
      </c>
      <c r="B84" s="4" t="s">
        <v>35</v>
      </c>
      <c r="C84" s="4" t="s">
        <v>36</v>
      </c>
      <c r="D84" s="4" t="s">
        <v>48</v>
      </c>
      <c r="E84" s="4" t="s">
        <v>49</v>
      </c>
      <c r="F84" s="4" t="s">
        <v>25</v>
      </c>
      <c r="G84" s="4" t="s">
        <v>25</v>
      </c>
      <c r="H84" s="4" t="s">
        <v>38</v>
      </c>
      <c r="I84" s="5">
        <v>44682</v>
      </c>
      <c r="J84" s="6">
        <v>0</v>
      </c>
      <c r="K84" s="53">
        <v>0</v>
      </c>
      <c r="L84" s="6">
        <v>34.439</v>
      </c>
      <c r="M84" s="53">
        <v>34.439</v>
      </c>
      <c r="N84" s="6">
        <v>34.439</v>
      </c>
      <c r="O84" s="53">
        <v>34.439</v>
      </c>
      <c r="P84" s="6">
        <v>0</v>
      </c>
      <c r="Q84" s="4" t="s">
        <v>26</v>
      </c>
      <c r="R84" s="4">
        <v>0</v>
      </c>
      <c r="S84" s="6">
        <v>0</v>
      </c>
      <c r="T84" s="6">
        <v>10</v>
      </c>
      <c r="U84" s="6">
        <v>40</v>
      </c>
      <c r="V84" s="53">
        <f>IF(ISERROR(VLOOKUP($S$84,'TAR FIN'!$A$1:$O$85,15,0)),0,VLOOKUP($S$84,'TAR FIN'!$A$1:$O$85,15,0))</f>
        <v>0</v>
      </c>
      <c r="W84" s="53">
        <f>IF(ISERROR(VLOOKUP($T$84,'TAR FIN'!$A$1:$O$85,15,0)),0,VLOOKUP($T$84,'TAR FIN'!$A$1:$O$85,15,0))*(1-0.06)</f>
        <v>62.077600000000004</v>
      </c>
      <c r="X84" s="53">
        <f>IF(ISERROR(VLOOKUP($U$84,'TAR FIN'!$A$1:$O$85,15,0)),0,VLOOKUP($U$84,'TAR FIN'!$A$1:$O$85,15,0))*(1-0.06)</f>
        <v>112.7718</v>
      </c>
      <c r="Y84" s="53"/>
      <c r="Z84" s="53">
        <f ca="1">('TUSD BE'!$AM$12+'TUSD BF'!$AM$12+'TUSD CVA'!$AM$12)*1*(1-0.03)</f>
        <v>98.026390524893429</v>
      </c>
      <c r="AA84" s="53">
        <f>('TE BE'!$AB$6+'TE BF'!$AB$6+'TE CVA'!$AB$6)*1*(1-0.03)</f>
        <v>118.90878875575021</v>
      </c>
      <c r="AB84" s="6">
        <f>$K$84*$V$84</f>
        <v>0</v>
      </c>
      <c r="AC84" s="6">
        <f>$M$84*$W$84</f>
        <v>2137.8904664000002</v>
      </c>
      <c r="AD84" s="6">
        <f>$O$84*$X$84</f>
        <v>3883.7480202000002</v>
      </c>
      <c r="AE84" s="6">
        <f>$K$84*$Y$84</f>
        <v>0</v>
      </c>
      <c r="AF84" s="6">
        <f ca="1">$M$84*$Z$84</f>
        <v>3375.9308632868047</v>
      </c>
      <c r="AG84" s="6">
        <f>$O$84*$AA$84</f>
        <v>4095.0997759592815</v>
      </c>
    </row>
    <row r="85" spans="1:33" ht="11.25" customHeight="1" x14ac:dyDescent="0.3">
      <c r="A85" s="4" t="s">
        <v>21</v>
      </c>
      <c r="B85" s="4" t="s">
        <v>35</v>
      </c>
      <c r="C85" s="4" t="s">
        <v>36</v>
      </c>
      <c r="D85" s="4" t="s">
        <v>48</v>
      </c>
      <c r="E85" s="4" t="s">
        <v>49</v>
      </c>
      <c r="F85" s="4" t="s">
        <v>25</v>
      </c>
      <c r="G85" s="4" t="s">
        <v>25</v>
      </c>
      <c r="H85" s="4" t="s">
        <v>38</v>
      </c>
      <c r="I85" s="5">
        <v>44713</v>
      </c>
      <c r="J85" s="6">
        <v>0</v>
      </c>
      <c r="K85" s="53">
        <v>0</v>
      </c>
      <c r="L85" s="6">
        <v>34.14</v>
      </c>
      <c r="M85" s="53">
        <v>34.14</v>
      </c>
      <c r="N85" s="6">
        <v>34.14</v>
      </c>
      <c r="O85" s="53">
        <v>34.14</v>
      </c>
      <c r="P85" s="6">
        <v>0</v>
      </c>
      <c r="Q85" s="4" t="s">
        <v>26</v>
      </c>
      <c r="R85" s="4">
        <v>0</v>
      </c>
      <c r="S85" s="6">
        <v>0</v>
      </c>
      <c r="T85" s="6">
        <v>10</v>
      </c>
      <c r="U85" s="6">
        <v>40</v>
      </c>
      <c r="V85" s="53">
        <f>IF(ISERROR(VLOOKUP($S$85,'TAR FIN'!$A$1:$O$85,15,0)),0,VLOOKUP($S$85,'TAR FIN'!$A$1:$O$85,15,0))</f>
        <v>0</v>
      </c>
      <c r="W85" s="53">
        <f>IF(ISERROR(VLOOKUP($T$85,'TAR FIN'!$A$1:$O$85,15,0)),0,VLOOKUP($T$85,'TAR FIN'!$A$1:$O$85,15,0))*(1-0.06)</f>
        <v>62.077600000000004</v>
      </c>
      <c r="X85" s="53">
        <f>IF(ISERROR(VLOOKUP($U$85,'TAR FIN'!$A$1:$O$85,15,0)),0,VLOOKUP($U$85,'TAR FIN'!$A$1:$O$85,15,0))*(1-0.06)</f>
        <v>112.7718</v>
      </c>
      <c r="Y85" s="53"/>
      <c r="Z85" s="53">
        <f ca="1">('TUSD BE'!$AM$12+'TUSD BF'!$AM$12+'TUSD CVA'!$AM$12)*1*(1-0.03)</f>
        <v>98.026390524893429</v>
      </c>
      <c r="AA85" s="53">
        <f>('TE BE'!$AB$6+'TE BF'!$AB$6+'TE CVA'!$AB$6)*1*(1-0.03)</f>
        <v>118.90878875575021</v>
      </c>
      <c r="AB85" s="6">
        <f>$K$85*$V$85</f>
        <v>0</v>
      </c>
      <c r="AC85" s="6">
        <f>$M$85*$W$85</f>
        <v>2119.329264</v>
      </c>
      <c r="AD85" s="6">
        <f>$O$85*$X$85</f>
        <v>3850.0292519999998</v>
      </c>
      <c r="AE85" s="6">
        <f>$K$85*$Y$85</f>
        <v>0</v>
      </c>
      <c r="AF85" s="6">
        <f ca="1">$M$85*$Z$85</f>
        <v>3346.6209725198619</v>
      </c>
      <c r="AG85" s="6">
        <f>$O$85*$AA$85</f>
        <v>4059.5460481213122</v>
      </c>
    </row>
    <row r="86" spans="1:33" ht="11.25" customHeight="1" x14ac:dyDescent="0.3">
      <c r="A86" s="4" t="s">
        <v>21</v>
      </c>
      <c r="B86" s="4" t="s">
        <v>35</v>
      </c>
      <c r="C86" s="4" t="s">
        <v>36</v>
      </c>
      <c r="D86" s="4" t="s">
        <v>48</v>
      </c>
      <c r="E86" s="4" t="s">
        <v>49</v>
      </c>
      <c r="F86" s="4" t="s">
        <v>25</v>
      </c>
      <c r="G86" s="4" t="s">
        <v>25</v>
      </c>
      <c r="H86" s="4" t="s">
        <v>38</v>
      </c>
      <c r="I86" s="5">
        <v>44743</v>
      </c>
      <c r="J86" s="6">
        <v>0</v>
      </c>
      <c r="K86" s="53">
        <v>0</v>
      </c>
      <c r="L86" s="6">
        <v>39.697000000000003</v>
      </c>
      <c r="M86" s="53">
        <v>39.697000000000003</v>
      </c>
      <c r="N86" s="6">
        <v>39.697000000000003</v>
      </c>
      <c r="O86" s="53">
        <v>39.697000000000003</v>
      </c>
      <c r="P86" s="6">
        <v>0</v>
      </c>
      <c r="Q86" s="4" t="s">
        <v>26</v>
      </c>
      <c r="R86" s="4">
        <v>0</v>
      </c>
      <c r="S86" s="6">
        <v>0</v>
      </c>
      <c r="T86" s="6">
        <v>10</v>
      </c>
      <c r="U86" s="6">
        <v>40</v>
      </c>
      <c r="V86" s="53">
        <f>IF(ISERROR(VLOOKUP($S$86,'TAR FIN'!$A$1:$O$85,15,0)),0,VLOOKUP($S$86,'TAR FIN'!$A$1:$O$85,15,0))</f>
        <v>0</v>
      </c>
      <c r="W86" s="53">
        <f>IF(ISERROR(VLOOKUP($T$86,'TAR FIN'!$A$1:$O$85,15,0)),0,VLOOKUP($T$86,'TAR FIN'!$A$1:$O$85,15,0))*(1-0.06)</f>
        <v>62.077600000000004</v>
      </c>
      <c r="X86" s="53">
        <f>IF(ISERROR(VLOOKUP($U$86,'TAR FIN'!$A$1:$O$85,15,0)),0,VLOOKUP($U$86,'TAR FIN'!$A$1:$O$85,15,0))*(1-0.06)</f>
        <v>112.7718</v>
      </c>
      <c r="Y86" s="53"/>
      <c r="Z86" s="53">
        <f ca="1">('TUSD BE'!$AM$12+'TUSD BF'!$AM$12+'TUSD CVA'!$AM$12)*1*(1-0.03)</f>
        <v>98.026390524893429</v>
      </c>
      <c r="AA86" s="53">
        <f>('TE BE'!$AB$6+'TE BF'!$AB$6+'TE CVA'!$AB$6)*1*(1-0.03)</f>
        <v>118.90878875575021</v>
      </c>
      <c r="AB86" s="6">
        <f>$K$86*$V$86</f>
        <v>0</v>
      </c>
      <c r="AC86" s="6">
        <f>$M$86*$W$86</f>
        <v>2464.2944872000003</v>
      </c>
      <c r="AD86" s="6">
        <f>$O$86*$X$86</f>
        <v>4476.7021445999999</v>
      </c>
      <c r="AE86" s="6">
        <f>$K$86*$Y$86</f>
        <v>0</v>
      </c>
      <c r="AF86" s="6">
        <f ca="1">$M$86*$Z$86</f>
        <v>3891.3536246666949</v>
      </c>
      <c r="AG86" s="6">
        <f>$O$86*$AA$86</f>
        <v>4720.3221872370168</v>
      </c>
    </row>
    <row r="87" spans="1:33" ht="11.25" customHeight="1" x14ac:dyDescent="0.3">
      <c r="A87" s="4" t="s">
        <v>52</v>
      </c>
      <c r="B87" s="4" t="s">
        <v>35</v>
      </c>
      <c r="C87" s="4" t="s">
        <v>36</v>
      </c>
      <c r="D87" s="4" t="s">
        <v>48</v>
      </c>
      <c r="E87" s="4" t="s">
        <v>49</v>
      </c>
      <c r="F87" s="4" t="s">
        <v>25</v>
      </c>
      <c r="G87" s="4" t="s">
        <v>25</v>
      </c>
      <c r="H87" s="4" t="s">
        <v>38</v>
      </c>
      <c r="I87" s="5">
        <v>44774</v>
      </c>
      <c r="J87" s="6">
        <v>0</v>
      </c>
      <c r="K87" s="53">
        <v>0</v>
      </c>
      <c r="L87" s="6">
        <v>39.697000000000003</v>
      </c>
      <c r="M87" s="53">
        <v>39.697000000000003</v>
      </c>
      <c r="N87" s="6">
        <v>39.697000000000003</v>
      </c>
      <c r="O87" s="53">
        <v>39.697000000000003</v>
      </c>
      <c r="P87" s="6">
        <v>0</v>
      </c>
      <c r="Q87" s="4" t="s">
        <v>26</v>
      </c>
      <c r="R87" s="4">
        <v>0</v>
      </c>
      <c r="S87" s="6">
        <v>0</v>
      </c>
      <c r="T87" s="6">
        <v>10</v>
      </c>
      <c r="U87" s="6">
        <v>40</v>
      </c>
      <c r="V87" s="53">
        <f>IF(ISERROR(VLOOKUP($S$87,'TAR FIN'!$A$1:$O$85,15,0)),0,VLOOKUP($S$87,'TAR FIN'!$A$1:$O$85,15,0))</f>
        <v>0</v>
      </c>
      <c r="W87" s="53">
        <f>IF(ISERROR(VLOOKUP($T$87,'TAR FIN'!$A$1:$O$85,15,0)),0,VLOOKUP($T$87,'TAR FIN'!$A$1:$O$85,15,0))*(1-0.06)</f>
        <v>62.077600000000004</v>
      </c>
      <c r="X87" s="53">
        <f>IF(ISERROR(VLOOKUP($U$87,'TAR FIN'!$A$1:$O$85,15,0)),0,VLOOKUP($U$87,'TAR FIN'!$A$1:$O$85,15,0))*(1-0.06)</f>
        <v>112.7718</v>
      </c>
      <c r="Y87" s="53"/>
      <c r="Z87" s="53">
        <f ca="1">('TUSD BE'!$AM$12+'TUSD BF'!$AM$12+'TUSD CVA'!$AM$12)*1*(1-0.03)</f>
        <v>98.026390524893429</v>
      </c>
      <c r="AA87" s="53">
        <f>('TE BE'!$AB$6+'TE BF'!$AB$6+'TE CVA'!$AB$6)*1*(1-0.03)</f>
        <v>118.90878875575021</v>
      </c>
      <c r="AB87" s="6">
        <f>$K$87*$V$87</f>
        <v>0</v>
      </c>
      <c r="AC87" s="6">
        <f>$M$87*$W$87</f>
        <v>2464.2944872000003</v>
      </c>
      <c r="AD87" s="6">
        <f>$O$87*$X$87</f>
        <v>4476.7021445999999</v>
      </c>
      <c r="AE87" s="6">
        <f>$K$87*$Y$87</f>
        <v>0</v>
      </c>
      <c r="AF87" s="6">
        <f ca="1">$M$87*$Z$87</f>
        <v>3891.3536246666949</v>
      </c>
      <c r="AG87" s="6">
        <f>$O$87*$AA$87</f>
        <v>4720.3221872370168</v>
      </c>
    </row>
    <row r="88" spans="1:33" ht="11.25" customHeight="1" x14ac:dyDescent="0.3">
      <c r="A88" s="4" t="s">
        <v>21</v>
      </c>
      <c r="B88" s="4" t="s">
        <v>35</v>
      </c>
      <c r="C88" s="4" t="s">
        <v>36</v>
      </c>
      <c r="D88" s="4" t="s">
        <v>48</v>
      </c>
      <c r="E88" s="4" t="s">
        <v>49</v>
      </c>
      <c r="F88" s="4" t="s">
        <v>25</v>
      </c>
      <c r="G88" s="4" t="s">
        <v>25</v>
      </c>
      <c r="H88" s="4" t="s">
        <v>25</v>
      </c>
      <c r="I88" s="5">
        <v>44501</v>
      </c>
      <c r="J88" s="6">
        <v>100</v>
      </c>
      <c r="K88" s="54">
        <v>100</v>
      </c>
      <c r="L88" s="6">
        <v>0</v>
      </c>
      <c r="M88" s="53">
        <v>0</v>
      </c>
      <c r="N88" s="6">
        <v>0</v>
      </c>
      <c r="O88" s="53">
        <v>0</v>
      </c>
      <c r="P88" s="6">
        <v>1</v>
      </c>
      <c r="Q88" s="4" t="s">
        <v>26</v>
      </c>
      <c r="R88" s="4">
        <v>0</v>
      </c>
      <c r="S88" s="6">
        <v>27</v>
      </c>
      <c r="T88" s="6">
        <v>0</v>
      </c>
      <c r="U88" s="6">
        <v>0</v>
      </c>
      <c r="V88" s="53">
        <f>IF(ISERROR(VLOOKUP($S$88,'TAR FIN'!$A$1:$O$85,15,0)),0,VLOOKUP($S$88,'TAR FIN'!$A$1:$O$85,15,0))*(1-0.06)</f>
        <v>38.680999999999997</v>
      </c>
      <c r="W88" s="53">
        <f>IF(ISERROR(VLOOKUP($T$88,'TAR FIN'!$A$1:$O$85,15,0)),0,VLOOKUP($T$88,'TAR FIN'!$A$1:$O$85,15,0))</f>
        <v>0</v>
      </c>
      <c r="X88" s="53">
        <f>IF(ISERROR(VLOOKUP($U$88,'TAR FIN'!$A$1:$O$85,15,0)),0,VLOOKUP($U$88,'TAR FIN'!$A$1:$O$85,15,0))</f>
        <v>0</v>
      </c>
      <c r="Y88" s="53">
        <f ca="1">('TUSD BE'!$AM$10+'TUSD BF'!$AM$10+'TUSD CVA'!$AM$10)*1*(1-0.03)</f>
        <v>40.203324927971032</v>
      </c>
      <c r="Z88" s="53"/>
      <c r="AA88" s="53"/>
      <c r="AB88" s="6">
        <f>$K$88*$V$88</f>
        <v>3868.1</v>
      </c>
      <c r="AC88" s="6">
        <f>$M$88*$W$88</f>
        <v>0</v>
      </c>
      <c r="AD88" s="6">
        <f>$O$88*$X$88</f>
        <v>0</v>
      </c>
      <c r="AE88" s="6">
        <f ca="1">$K$88*$Y$88</f>
        <v>4020.332492797103</v>
      </c>
      <c r="AF88" s="6">
        <f>$M$88*$Z$88</f>
        <v>0</v>
      </c>
      <c r="AG88" s="6">
        <f>$O$88*$AA$88</f>
        <v>0</v>
      </c>
    </row>
    <row r="89" spans="1:33" ht="11.25" customHeight="1" x14ac:dyDescent="0.3">
      <c r="A89" s="4" t="s">
        <v>21</v>
      </c>
      <c r="B89" s="4" t="s">
        <v>35</v>
      </c>
      <c r="C89" s="4" t="s">
        <v>36</v>
      </c>
      <c r="D89" s="4" t="s">
        <v>48</v>
      </c>
      <c r="E89" s="4" t="s">
        <v>49</v>
      </c>
      <c r="F89" s="4" t="s">
        <v>25</v>
      </c>
      <c r="G89" s="4" t="s">
        <v>25</v>
      </c>
      <c r="H89" s="4" t="s">
        <v>25</v>
      </c>
      <c r="I89" s="5">
        <v>44531</v>
      </c>
      <c r="J89" s="6">
        <v>100</v>
      </c>
      <c r="K89" s="54">
        <v>100</v>
      </c>
      <c r="L89" s="6">
        <v>0</v>
      </c>
      <c r="M89" s="53">
        <v>0</v>
      </c>
      <c r="N89" s="6">
        <v>0</v>
      </c>
      <c r="O89" s="53">
        <v>0</v>
      </c>
      <c r="P89" s="6">
        <v>1</v>
      </c>
      <c r="Q89" s="4" t="s">
        <v>26</v>
      </c>
      <c r="R89" s="4">
        <v>0</v>
      </c>
      <c r="S89" s="6">
        <v>27</v>
      </c>
      <c r="T89" s="6">
        <v>0</v>
      </c>
      <c r="U89" s="6">
        <v>0</v>
      </c>
      <c r="V89" s="53">
        <f>IF(ISERROR(VLOOKUP($S$89,'TAR FIN'!$A$1:$O$85,15,0)),0,VLOOKUP($S$89,'TAR FIN'!$A$1:$O$85,15,0))*(1-0.06)</f>
        <v>38.680999999999997</v>
      </c>
      <c r="W89" s="53">
        <f>IF(ISERROR(VLOOKUP($T$89,'TAR FIN'!$A$1:$O$85,15,0)),0,VLOOKUP($T$89,'TAR FIN'!$A$1:$O$85,15,0))</f>
        <v>0</v>
      </c>
      <c r="X89" s="53">
        <f>IF(ISERROR(VLOOKUP($U$89,'TAR FIN'!$A$1:$O$85,15,0)),0,VLOOKUP($U$89,'TAR FIN'!$A$1:$O$85,15,0))</f>
        <v>0</v>
      </c>
      <c r="Y89" s="53">
        <f ca="1">('TUSD BE'!$AM$10+'TUSD BF'!$AM$10+'TUSD CVA'!$AM$10)*1*(1-0.03)</f>
        <v>40.203324927971032</v>
      </c>
      <c r="Z89" s="53"/>
      <c r="AA89" s="53"/>
      <c r="AB89" s="6">
        <f>$K$89*$V$89</f>
        <v>3868.1</v>
      </c>
      <c r="AC89" s="6">
        <f>$M$89*$W$89</f>
        <v>0</v>
      </c>
      <c r="AD89" s="6">
        <f>$O$89*$X$89</f>
        <v>0</v>
      </c>
      <c r="AE89" s="6">
        <f ca="1">$K$89*$Y$89</f>
        <v>4020.332492797103</v>
      </c>
      <c r="AF89" s="6">
        <f>$M$89*$Z$89</f>
        <v>0</v>
      </c>
      <c r="AG89" s="6">
        <f>$O$89*$AA$89</f>
        <v>0</v>
      </c>
    </row>
    <row r="90" spans="1:33" ht="11.25" customHeight="1" x14ac:dyDescent="0.3">
      <c r="A90" s="4" t="s">
        <v>21</v>
      </c>
      <c r="B90" s="4" t="s">
        <v>35</v>
      </c>
      <c r="C90" s="4" t="s">
        <v>36</v>
      </c>
      <c r="D90" s="4" t="s">
        <v>48</v>
      </c>
      <c r="E90" s="4" t="s">
        <v>49</v>
      </c>
      <c r="F90" s="4" t="s">
        <v>25</v>
      </c>
      <c r="G90" s="4" t="s">
        <v>25</v>
      </c>
      <c r="H90" s="4" t="s">
        <v>25</v>
      </c>
      <c r="I90" s="5">
        <v>44562</v>
      </c>
      <c r="J90" s="6">
        <v>101</v>
      </c>
      <c r="K90" s="54">
        <v>101</v>
      </c>
      <c r="L90" s="6">
        <v>0</v>
      </c>
      <c r="M90" s="53">
        <v>0</v>
      </c>
      <c r="N90" s="6">
        <v>0</v>
      </c>
      <c r="O90" s="53">
        <v>0</v>
      </c>
      <c r="P90" s="6">
        <v>1</v>
      </c>
      <c r="Q90" s="4" t="s">
        <v>26</v>
      </c>
      <c r="R90" s="4">
        <v>0</v>
      </c>
      <c r="S90" s="6">
        <v>27</v>
      </c>
      <c r="T90" s="6">
        <v>0</v>
      </c>
      <c r="U90" s="6">
        <v>0</v>
      </c>
      <c r="V90" s="53">
        <f>IF(ISERROR(VLOOKUP($S$90,'TAR FIN'!$A$1:$O$85,15,0)),0,VLOOKUP($S$90,'TAR FIN'!$A$1:$O$85,15,0))*(1-0.06)</f>
        <v>38.680999999999997</v>
      </c>
      <c r="W90" s="53">
        <f>IF(ISERROR(VLOOKUP($T$90,'TAR FIN'!$A$1:$O$85,15,0)),0,VLOOKUP($T$90,'TAR FIN'!$A$1:$O$85,15,0))</f>
        <v>0</v>
      </c>
      <c r="X90" s="53">
        <f>IF(ISERROR(VLOOKUP($U$90,'TAR FIN'!$A$1:$O$85,15,0)),0,VLOOKUP($U$90,'TAR FIN'!$A$1:$O$85,15,0))</f>
        <v>0</v>
      </c>
      <c r="Y90" s="53">
        <f ca="1">('TUSD BE'!$AM$10+'TUSD BF'!$AM$10+'TUSD CVA'!$AM$10)*1*(1-0.03)</f>
        <v>40.203324927971032</v>
      </c>
      <c r="Z90" s="53"/>
      <c r="AA90" s="53"/>
      <c r="AB90" s="6">
        <f>$K$90*$V$90</f>
        <v>3906.7809999999999</v>
      </c>
      <c r="AC90" s="6">
        <f>$M$90*$W$90</f>
        <v>0</v>
      </c>
      <c r="AD90" s="6">
        <f>$O$90*$X$90</f>
        <v>0</v>
      </c>
      <c r="AE90" s="6">
        <f ca="1">$K$90*$Y$90</f>
        <v>4060.5358177250741</v>
      </c>
      <c r="AF90" s="6">
        <f>$M$90*$Z$90</f>
        <v>0</v>
      </c>
      <c r="AG90" s="6">
        <f>$O$90*$AA$90</f>
        <v>0</v>
      </c>
    </row>
    <row r="91" spans="1:33" ht="11.25" customHeight="1" x14ac:dyDescent="0.3">
      <c r="A91" s="4" t="s">
        <v>21</v>
      </c>
      <c r="B91" s="4" t="s">
        <v>35</v>
      </c>
      <c r="C91" s="4" t="s">
        <v>36</v>
      </c>
      <c r="D91" s="4" t="s">
        <v>48</v>
      </c>
      <c r="E91" s="4" t="s">
        <v>49</v>
      </c>
      <c r="F91" s="4" t="s">
        <v>25</v>
      </c>
      <c r="G91" s="4" t="s">
        <v>25</v>
      </c>
      <c r="H91" s="4" t="s">
        <v>25</v>
      </c>
      <c r="I91" s="5">
        <v>44593</v>
      </c>
      <c r="J91" s="6">
        <v>100</v>
      </c>
      <c r="K91" s="54">
        <v>100</v>
      </c>
      <c r="L91" s="6">
        <v>0</v>
      </c>
      <c r="M91" s="53">
        <v>0</v>
      </c>
      <c r="N91" s="6">
        <v>0</v>
      </c>
      <c r="O91" s="53">
        <v>0</v>
      </c>
      <c r="P91" s="6">
        <v>1</v>
      </c>
      <c r="Q91" s="4" t="s">
        <v>26</v>
      </c>
      <c r="R91" s="4">
        <v>0</v>
      </c>
      <c r="S91" s="6">
        <v>27</v>
      </c>
      <c r="T91" s="6">
        <v>0</v>
      </c>
      <c r="U91" s="6">
        <v>0</v>
      </c>
      <c r="V91" s="53">
        <f>IF(ISERROR(VLOOKUP($S$91,'TAR FIN'!$A$1:$O$85,15,0)),0,VLOOKUP($S$91,'TAR FIN'!$A$1:$O$85,15,0))*(1-0.06)</f>
        <v>38.680999999999997</v>
      </c>
      <c r="W91" s="53">
        <f>IF(ISERROR(VLOOKUP($T$91,'TAR FIN'!$A$1:$O$85,15,0)),0,VLOOKUP($T$91,'TAR FIN'!$A$1:$O$85,15,0))</f>
        <v>0</v>
      </c>
      <c r="X91" s="53">
        <f>IF(ISERROR(VLOOKUP($U$91,'TAR FIN'!$A$1:$O$85,15,0)),0,VLOOKUP($U$91,'TAR FIN'!$A$1:$O$85,15,0))</f>
        <v>0</v>
      </c>
      <c r="Y91" s="53">
        <f ca="1">('TUSD BE'!$AM$10+'TUSD BF'!$AM$10+'TUSD CVA'!$AM$10)*1*(1-0.03)</f>
        <v>40.203324927971032</v>
      </c>
      <c r="Z91" s="53"/>
      <c r="AA91" s="53"/>
      <c r="AB91" s="6">
        <f>$K$91*$V$91</f>
        <v>3868.1</v>
      </c>
      <c r="AC91" s="6">
        <f>$M$91*$W$91</f>
        <v>0</v>
      </c>
      <c r="AD91" s="6">
        <f>$O$91*$X$91</f>
        <v>0</v>
      </c>
      <c r="AE91" s="6">
        <f ca="1">$K$91*$Y$91</f>
        <v>4020.332492797103</v>
      </c>
      <c r="AF91" s="6">
        <f>$M$91*$Z$91</f>
        <v>0</v>
      </c>
      <c r="AG91" s="6">
        <f>$O$91*$AA$91</f>
        <v>0</v>
      </c>
    </row>
    <row r="92" spans="1:33" ht="11.25" customHeight="1" x14ac:dyDescent="0.3">
      <c r="A92" s="4" t="s">
        <v>21</v>
      </c>
      <c r="B92" s="4" t="s">
        <v>35</v>
      </c>
      <c r="C92" s="4" t="s">
        <v>36</v>
      </c>
      <c r="D92" s="4" t="s">
        <v>48</v>
      </c>
      <c r="E92" s="4" t="s">
        <v>49</v>
      </c>
      <c r="F92" s="4" t="s">
        <v>25</v>
      </c>
      <c r="G92" s="4" t="s">
        <v>25</v>
      </c>
      <c r="H92" s="4" t="s">
        <v>25</v>
      </c>
      <c r="I92" s="5">
        <v>44621</v>
      </c>
      <c r="J92" s="6">
        <v>100</v>
      </c>
      <c r="K92" s="54">
        <v>100</v>
      </c>
      <c r="L92" s="6">
        <v>0</v>
      </c>
      <c r="M92" s="53">
        <v>0</v>
      </c>
      <c r="N92" s="6">
        <v>0</v>
      </c>
      <c r="O92" s="53">
        <v>0</v>
      </c>
      <c r="P92" s="6">
        <v>1</v>
      </c>
      <c r="Q92" s="4" t="s">
        <v>26</v>
      </c>
      <c r="R92" s="4">
        <v>0</v>
      </c>
      <c r="S92" s="6">
        <v>27</v>
      </c>
      <c r="T92" s="6">
        <v>0</v>
      </c>
      <c r="U92" s="6">
        <v>0</v>
      </c>
      <c r="V92" s="53">
        <f>IF(ISERROR(VLOOKUP($S$92,'TAR FIN'!$A$1:$O$85,15,0)),0,VLOOKUP($S$92,'TAR FIN'!$A$1:$O$85,15,0))*(1-0.06)</f>
        <v>38.680999999999997</v>
      </c>
      <c r="W92" s="53">
        <f>IF(ISERROR(VLOOKUP($T$92,'TAR FIN'!$A$1:$O$85,15,0)),0,VLOOKUP($T$92,'TAR FIN'!$A$1:$O$85,15,0))</f>
        <v>0</v>
      </c>
      <c r="X92" s="53">
        <f>IF(ISERROR(VLOOKUP($U$92,'TAR FIN'!$A$1:$O$85,15,0)),0,VLOOKUP($U$92,'TAR FIN'!$A$1:$O$85,15,0))</f>
        <v>0</v>
      </c>
      <c r="Y92" s="53">
        <f ca="1">('TUSD BE'!$AM$10+'TUSD BF'!$AM$10+'TUSD CVA'!$AM$10)*1*(1-0.03)</f>
        <v>40.203324927971032</v>
      </c>
      <c r="Z92" s="53"/>
      <c r="AA92" s="53"/>
      <c r="AB92" s="6">
        <f>$K$92*$V$92</f>
        <v>3868.1</v>
      </c>
      <c r="AC92" s="6">
        <f>$M$92*$W$92</f>
        <v>0</v>
      </c>
      <c r="AD92" s="6">
        <f>$O$92*$X$92</f>
        <v>0</v>
      </c>
      <c r="AE92" s="6">
        <f ca="1">$K$92*$Y$92</f>
        <v>4020.332492797103</v>
      </c>
      <c r="AF92" s="6">
        <f>$M$92*$Z$92</f>
        <v>0</v>
      </c>
      <c r="AG92" s="6">
        <f>$O$92*$AA$92</f>
        <v>0</v>
      </c>
    </row>
    <row r="93" spans="1:33" ht="11.25" customHeight="1" x14ac:dyDescent="0.3">
      <c r="A93" s="4" t="s">
        <v>21</v>
      </c>
      <c r="B93" s="4" t="s">
        <v>35</v>
      </c>
      <c r="C93" s="4" t="s">
        <v>36</v>
      </c>
      <c r="D93" s="4" t="s">
        <v>48</v>
      </c>
      <c r="E93" s="4" t="s">
        <v>49</v>
      </c>
      <c r="F93" s="4" t="s">
        <v>25</v>
      </c>
      <c r="G93" s="4" t="s">
        <v>25</v>
      </c>
      <c r="H93" s="4" t="s">
        <v>25</v>
      </c>
      <c r="I93" s="5">
        <v>44652</v>
      </c>
      <c r="J93" s="6">
        <v>100</v>
      </c>
      <c r="K93" s="54">
        <v>100</v>
      </c>
      <c r="L93" s="6">
        <v>0</v>
      </c>
      <c r="M93" s="53">
        <v>0</v>
      </c>
      <c r="N93" s="6">
        <v>0</v>
      </c>
      <c r="O93" s="53">
        <v>0</v>
      </c>
      <c r="P93" s="6">
        <v>1</v>
      </c>
      <c r="Q93" s="4" t="s">
        <v>26</v>
      </c>
      <c r="R93" s="4">
        <v>0</v>
      </c>
      <c r="S93" s="6">
        <v>27</v>
      </c>
      <c r="T93" s="6">
        <v>0</v>
      </c>
      <c r="U93" s="6">
        <v>0</v>
      </c>
      <c r="V93" s="53">
        <f>IF(ISERROR(VLOOKUP($S$93,'TAR FIN'!$A$1:$O$85,15,0)),0,VLOOKUP($S$93,'TAR FIN'!$A$1:$O$85,15,0))*(1-0.06)</f>
        <v>38.680999999999997</v>
      </c>
      <c r="W93" s="53">
        <f>IF(ISERROR(VLOOKUP($T$93,'TAR FIN'!$A$1:$O$85,15,0)),0,VLOOKUP($T$93,'TAR FIN'!$A$1:$O$85,15,0))</f>
        <v>0</v>
      </c>
      <c r="X93" s="53">
        <f>IF(ISERROR(VLOOKUP($U$93,'TAR FIN'!$A$1:$O$85,15,0)),0,VLOOKUP($U$93,'TAR FIN'!$A$1:$O$85,15,0))</f>
        <v>0</v>
      </c>
      <c r="Y93" s="53">
        <f ca="1">('TUSD BE'!$AM$10+'TUSD BF'!$AM$10+'TUSD CVA'!$AM$10)*1*(1-0.03)</f>
        <v>40.203324927971032</v>
      </c>
      <c r="Z93" s="53"/>
      <c r="AA93" s="53"/>
      <c r="AB93" s="6">
        <f>$K$93*$V$93</f>
        <v>3868.1</v>
      </c>
      <c r="AC93" s="6">
        <f>$M$93*$W$93</f>
        <v>0</v>
      </c>
      <c r="AD93" s="6">
        <f>$O$93*$X$93</f>
        <v>0</v>
      </c>
      <c r="AE93" s="6">
        <f ca="1">$K$93*$Y$93</f>
        <v>4020.332492797103</v>
      </c>
      <c r="AF93" s="6">
        <f>$M$93*$Z$93</f>
        <v>0</v>
      </c>
      <c r="AG93" s="6">
        <f>$O$93*$AA$93</f>
        <v>0</v>
      </c>
    </row>
    <row r="94" spans="1:33" ht="11.25" customHeight="1" x14ac:dyDescent="0.3">
      <c r="A94" s="4" t="s">
        <v>21</v>
      </c>
      <c r="B94" s="4" t="s">
        <v>35</v>
      </c>
      <c r="C94" s="4" t="s">
        <v>36</v>
      </c>
      <c r="D94" s="4" t="s">
        <v>48</v>
      </c>
      <c r="E94" s="4" t="s">
        <v>49</v>
      </c>
      <c r="F94" s="4" t="s">
        <v>25</v>
      </c>
      <c r="G94" s="4" t="s">
        <v>25</v>
      </c>
      <c r="H94" s="4" t="s">
        <v>25</v>
      </c>
      <c r="I94" s="5">
        <v>44682</v>
      </c>
      <c r="J94" s="6">
        <v>100</v>
      </c>
      <c r="K94" s="54">
        <v>100</v>
      </c>
      <c r="L94" s="6">
        <v>0</v>
      </c>
      <c r="M94" s="53">
        <v>0</v>
      </c>
      <c r="N94" s="6">
        <v>0</v>
      </c>
      <c r="O94" s="53">
        <v>0</v>
      </c>
      <c r="P94" s="6">
        <v>1</v>
      </c>
      <c r="Q94" s="4" t="s">
        <v>26</v>
      </c>
      <c r="R94" s="4">
        <v>0</v>
      </c>
      <c r="S94" s="6">
        <v>27</v>
      </c>
      <c r="T94" s="6">
        <v>0</v>
      </c>
      <c r="U94" s="6">
        <v>0</v>
      </c>
      <c r="V94" s="53">
        <f>IF(ISERROR(VLOOKUP($S$94,'TAR FIN'!$A$1:$O$85,15,0)),0,VLOOKUP($S$94,'TAR FIN'!$A$1:$O$85,15,0))*(1-0.06)</f>
        <v>38.680999999999997</v>
      </c>
      <c r="W94" s="53">
        <f>IF(ISERROR(VLOOKUP($T$94,'TAR FIN'!$A$1:$O$85,15,0)),0,VLOOKUP($T$94,'TAR FIN'!$A$1:$O$85,15,0))</f>
        <v>0</v>
      </c>
      <c r="X94" s="53">
        <f>IF(ISERROR(VLOOKUP($U$94,'TAR FIN'!$A$1:$O$85,15,0)),0,VLOOKUP($U$94,'TAR FIN'!$A$1:$O$85,15,0))</f>
        <v>0</v>
      </c>
      <c r="Y94" s="53">
        <f ca="1">('TUSD BE'!$AM$10+'TUSD BF'!$AM$10+'TUSD CVA'!$AM$10)*1*(1-0.03)</f>
        <v>40.203324927971032</v>
      </c>
      <c r="Z94" s="53"/>
      <c r="AA94" s="53"/>
      <c r="AB94" s="6">
        <f>$K$94*$V$94</f>
        <v>3868.1</v>
      </c>
      <c r="AC94" s="6">
        <f>$M$94*$W$94</f>
        <v>0</v>
      </c>
      <c r="AD94" s="6">
        <f>$O$94*$X$94</f>
        <v>0</v>
      </c>
      <c r="AE94" s="6">
        <f ca="1">$K$94*$Y$94</f>
        <v>4020.332492797103</v>
      </c>
      <c r="AF94" s="6">
        <f>$M$94*$Z$94</f>
        <v>0</v>
      </c>
      <c r="AG94" s="6">
        <f>$O$94*$AA$94</f>
        <v>0</v>
      </c>
    </row>
    <row r="95" spans="1:33" ht="11.25" customHeight="1" x14ac:dyDescent="0.3">
      <c r="A95" s="4" t="s">
        <v>21</v>
      </c>
      <c r="B95" s="4" t="s">
        <v>35</v>
      </c>
      <c r="C95" s="4" t="s">
        <v>36</v>
      </c>
      <c r="D95" s="4" t="s">
        <v>48</v>
      </c>
      <c r="E95" s="4" t="s">
        <v>49</v>
      </c>
      <c r="F95" s="4" t="s">
        <v>25</v>
      </c>
      <c r="G95" s="4" t="s">
        <v>25</v>
      </c>
      <c r="H95" s="4" t="s">
        <v>25</v>
      </c>
      <c r="I95" s="5">
        <v>44713</v>
      </c>
      <c r="J95" s="6">
        <v>100</v>
      </c>
      <c r="K95" s="54">
        <v>100</v>
      </c>
      <c r="L95" s="6">
        <v>0</v>
      </c>
      <c r="M95" s="53">
        <v>0</v>
      </c>
      <c r="N95" s="6">
        <v>0</v>
      </c>
      <c r="O95" s="53">
        <v>0</v>
      </c>
      <c r="P95" s="6">
        <v>1</v>
      </c>
      <c r="Q95" s="4" t="s">
        <v>26</v>
      </c>
      <c r="R95" s="4">
        <v>0</v>
      </c>
      <c r="S95" s="6">
        <v>27</v>
      </c>
      <c r="T95" s="6">
        <v>0</v>
      </c>
      <c r="U95" s="6">
        <v>0</v>
      </c>
      <c r="V95" s="53">
        <f>IF(ISERROR(VLOOKUP($S$95,'TAR FIN'!$A$1:$O$85,15,0)),0,VLOOKUP($S$95,'TAR FIN'!$A$1:$O$85,15,0))*(1-0.06)</f>
        <v>38.680999999999997</v>
      </c>
      <c r="W95" s="53">
        <f>IF(ISERROR(VLOOKUP($T$95,'TAR FIN'!$A$1:$O$85,15,0)),0,VLOOKUP($T$95,'TAR FIN'!$A$1:$O$85,15,0))</f>
        <v>0</v>
      </c>
      <c r="X95" s="53">
        <f>IF(ISERROR(VLOOKUP($U$95,'TAR FIN'!$A$1:$O$85,15,0)),0,VLOOKUP($U$95,'TAR FIN'!$A$1:$O$85,15,0))</f>
        <v>0</v>
      </c>
      <c r="Y95" s="53">
        <f ca="1">('TUSD BE'!$AM$10+'TUSD BF'!$AM$10+'TUSD CVA'!$AM$10)*1*(1-0.03)</f>
        <v>40.203324927971032</v>
      </c>
      <c r="Z95" s="53"/>
      <c r="AA95" s="53"/>
      <c r="AB95" s="6">
        <f>$K$95*$V$95</f>
        <v>3868.1</v>
      </c>
      <c r="AC95" s="6">
        <f>$M$95*$W$95</f>
        <v>0</v>
      </c>
      <c r="AD95" s="6">
        <f>$O$95*$X$95</f>
        <v>0</v>
      </c>
      <c r="AE95" s="6">
        <f ca="1">$K$95*$Y$95</f>
        <v>4020.332492797103</v>
      </c>
      <c r="AF95" s="6">
        <f>$M$95*$Z$95</f>
        <v>0</v>
      </c>
      <c r="AG95" s="6">
        <f>$O$95*$AA$95</f>
        <v>0</v>
      </c>
    </row>
    <row r="96" spans="1:33" ht="11.25" customHeight="1" x14ac:dyDescent="0.3">
      <c r="A96" s="4" t="s">
        <v>21</v>
      </c>
      <c r="B96" s="4" t="s">
        <v>35</v>
      </c>
      <c r="C96" s="4" t="s">
        <v>36</v>
      </c>
      <c r="D96" s="4" t="s">
        <v>48</v>
      </c>
      <c r="E96" s="4" t="s">
        <v>49</v>
      </c>
      <c r="F96" s="4" t="s">
        <v>25</v>
      </c>
      <c r="G96" s="4" t="s">
        <v>25</v>
      </c>
      <c r="H96" s="4" t="s">
        <v>25</v>
      </c>
      <c r="I96" s="5">
        <v>44743</v>
      </c>
      <c r="J96" s="6">
        <v>100</v>
      </c>
      <c r="K96" s="54">
        <v>100</v>
      </c>
      <c r="L96" s="6">
        <v>0</v>
      </c>
      <c r="M96" s="53">
        <v>0</v>
      </c>
      <c r="N96" s="6">
        <v>0</v>
      </c>
      <c r="O96" s="53">
        <v>0</v>
      </c>
      <c r="P96" s="6">
        <v>1</v>
      </c>
      <c r="Q96" s="4" t="s">
        <v>26</v>
      </c>
      <c r="R96" s="4">
        <v>0</v>
      </c>
      <c r="S96" s="6">
        <v>27</v>
      </c>
      <c r="T96" s="6">
        <v>0</v>
      </c>
      <c r="U96" s="6">
        <v>0</v>
      </c>
      <c r="V96" s="53">
        <f>IF(ISERROR(VLOOKUP($S$96,'TAR FIN'!$A$1:$O$85,15,0)),0,VLOOKUP($S$96,'TAR FIN'!$A$1:$O$85,15,0))*(1-0.06)</f>
        <v>38.680999999999997</v>
      </c>
      <c r="W96" s="53">
        <f>IF(ISERROR(VLOOKUP($T$96,'TAR FIN'!$A$1:$O$85,15,0)),0,VLOOKUP($T$96,'TAR FIN'!$A$1:$O$85,15,0))</f>
        <v>0</v>
      </c>
      <c r="X96" s="53">
        <f>IF(ISERROR(VLOOKUP($U$96,'TAR FIN'!$A$1:$O$85,15,0)),0,VLOOKUP($U$96,'TAR FIN'!$A$1:$O$85,15,0))</f>
        <v>0</v>
      </c>
      <c r="Y96" s="53">
        <f ca="1">('TUSD BE'!$AM$10+'TUSD BF'!$AM$10+'TUSD CVA'!$AM$10)*1*(1-0.03)</f>
        <v>40.203324927971032</v>
      </c>
      <c r="Z96" s="53"/>
      <c r="AA96" s="53"/>
      <c r="AB96" s="6">
        <f>$K$96*$V$96</f>
        <v>3868.1</v>
      </c>
      <c r="AC96" s="6">
        <f>$M$96*$W$96</f>
        <v>0</v>
      </c>
      <c r="AD96" s="6">
        <f>$O$96*$X$96</f>
        <v>0</v>
      </c>
      <c r="AE96" s="6">
        <f ca="1">$K$96*$Y$96</f>
        <v>4020.332492797103</v>
      </c>
      <c r="AF96" s="6">
        <f>$M$96*$Z$96</f>
        <v>0</v>
      </c>
      <c r="AG96" s="6">
        <f>$O$96*$AA$96</f>
        <v>0</v>
      </c>
    </row>
    <row r="97" spans="1:33" ht="11.25" customHeight="1" x14ac:dyDescent="0.3">
      <c r="A97" s="4" t="s">
        <v>52</v>
      </c>
      <c r="B97" s="4" t="s">
        <v>35</v>
      </c>
      <c r="C97" s="4" t="s">
        <v>36</v>
      </c>
      <c r="D97" s="4" t="s">
        <v>48</v>
      </c>
      <c r="E97" s="4" t="s">
        <v>49</v>
      </c>
      <c r="F97" s="4" t="s">
        <v>25</v>
      </c>
      <c r="G97" s="4" t="s">
        <v>25</v>
      </c>
      <c r="H97" s="4" t="s">
        <v>25</v>
      </c>
      <c r="I97" s="5">
        <v>44774</v>
      </c>
      <c r="J97" s="6">
        <v>100</v>
      </c>
      <c r="K97" s="54">
        <v>100</v>
      </c>
      <c r="L97" s="6">
        <v>0</v>
      </c>
      <c r="M97" s="53">
        <v>0</v>
      </c>
      <c r="N97" s="6">
        <v>0</v>
      </c>
      <c r="O97" s="53">
        <v>0</v>
      </c>
      <c r="P97" s="6">
        <v>1</v>
      </c>
      <c r="Q97" s="4" t="s">
        <v>26</v>
      </c>
      <c r="R97" s="4">
        <v>0</v>
      </c>
      <c r="S97" s="6">
        <v>27</v>
      </c>
      <c r="T97" s="6">
        <v>0</v>
      </c>
      <c r="U97" s="6">
        <v>0</v>
      </c>
      <c r="V97" s="53">
        <f>IF(ISERROR(VLOOKUP($S$97,'TAR FIN'!$A$1:$O$85,15,0)),0,VLOOKUP($S$97,'TAR FIN'!$A$1:$O$85,15,0))*(1-0.06)</f>
        <v>38.680999999999997</v>
      </c>
      <c r="W97" s="53">
        <f>IF(ISERROR(VLOOKUP($T$97,'TAR FIN'!$A$1:$O$85,15,0)),0,VLOOKUP($T$97,'TAR FIN'!$A$1:$O$85,15,0))</f>
        <v>0</v>
      </c>
      <c r="X97" s="53">
        <f>IF(ISERROR(VLOOKUP($U$97,'TAR FIN'!$A$1:$O$85,15,0)),0,VLOOKUP($U$97,'TAR FIN'!$A$1:$O$85,15,0))</f>
        <v>0</v>
      </c>
      <c r="Y97" s="53">
        <f ca="1">('TUSD BE'!$AM$10+'TUSD BF'!$AM$10+'TUSD CVA'!$AM$10)*1*(1-0.03)</f>
        <v>40.203324927971032</v>
      </c>
      <c r="Z97" s="53"/>
      <c r="AA97" s="53"/>
      <c r="AB97" s="6">
        <f>$K$97*$V$97</f>
        <v>3868.1</v>
      </c>
      <c r="AC97" s="6">
        <f>$M$97*$W$97</f>
        <v>0</v>
      </c>
      <c r="AD97" s="6">
        <f>$O$97*$X$97</f>
        <v>0</v>
      </c>
      <c r="AE97" s="6">
        <f ca="1">$K$97*$Y$97</f>
        <v>4020.332492797103</v>
      </c>
      <c r="AF97" s="6">
        <f>$M$97*$Z$97</f>
        <v>0</v>
      </c>
      <c r="AG97" s="6">
        <f>$O$97*$AA$97</f>
        <v>0</v>
      </c>
    </row>
    <row r="98" spans="1:33" ht="11.25" customHeight="1" x14ac:dyDescent="0.3">
      <c r="A98" s="4" t="s">
        <v>21</v>
      </c>
      <c r="B98" s="4" t="s">
        <v>35</v>
      </c>
      <c r="C98" s="4" t="s">
        <v>36</v>
      </c>
      <c r="D98" s="4" t="s">
        <v>48</v>
      </c>
      <c r="E98" s="4" t="s">
        <v>49</v>
      </c>
      <c r="F98" s="4" t="s">
        <v>25</v>
      </c>
      <c r="G98" s="4" t="s">
        <v>25</v>
      </c>
      <c r="H98" s="4" t="s">
        <v>37</v>
      </c>
      <c r="I98" s="5">
        <v>44501</v>
      </c>
      <c r="J98" s="6">
        <v>0</v>
      </c>
      <c r="K98" s="53">
        <v>0</v>
      </c>
      <c r="L98" s="6">
        <v>4.5609999999999999</v>
      </c>
      <c r="M98" s="53">
        <v>4.5609999999999999</v>
      </c>
      <c r="N98" s="6">
        <v>4.5609999999999999</v>
      </c>
      <c r="O98" s="53">
        <v>4.5609999999999999</v>
      </c>
      <c r="P98" s="6">
        <v>0</v>
      </c>
      <c r="Q98" s="4" t="s">
        <v>26</v>
      </c>
      <c r="R98" s="4">
        <v>0</v>
      </c>
      <c r="S98" s="6">
        <v>0</v>
      </c>
      <c r="T98" s="6">
        <v>32</v>
      </c>
      <c r="U98" s="6">
        <v>34</v>
      </c>
      <c r="V98" s="53">
        <f>IF(ISERROR(VLOOKUP($S$98,'TAR FIN'!$A$1:$O$85,15,0)),0,VLOOKUP($S$98,'TAR FIN'!$A$1:$O$85,15,0))</f>
        <v>0</v>
      </c>
      <c r="W98" s="53">
        <f>IF(ISERROR(VLOOKUP($T$98,'TAR FIN'!$A$1:$O$85,15,0)),0,VLOOKUP($T$98,'TAR FIN'!$A$1:$O$85,15,0))*(1-0.06)</f>
        <v>2688.2496000000001</v>
      </c>
      <c r="X98" s="53">
        <f>IF(ISERROR(VLOOKUP($U$98,'TAR FIN'!$A$1:$O$85,15,0)),0,VLOOKUP($U$98,'TAR FIN'!$A$1:$O$85,15,0))*(1-0.06)</f>
        <v>112.7718</v>
      </c>
      <c r="Y98" s="53"/>
      <c r="Z98" s="53">
        <f ca="1">('TUSD BE'!$AM$11+'TUSD BF'!$AM$11+'TUSD CVA'!$AM$11)*1*(1-0.03)</f>
        <v>2838.5298865954551</v>
      </c>
      <c r="AA98" s="53">
        <f>('TE BE'!$AB$5+'TE BF'!$AB$5+'TE CVA'!$AB$5)*1*(1-0.03)</f>
        <v>118.90878875575021</v>
      </c>
      <c r="AB98" s="6">
        <f>$K$98*$V$98</f>
        <v>0</v>
      </c>
      <c r="AC98" s="6">
        <f>$M$98*$W$98</f>
        <v>12261.106425600001</v>
      </c>
      <c r="AD98" s="6">
        <f>$O$98*$X$98</f>
        <v>514.35217980000004</v>
      </c>
      <c r="AE98" s="6">
        <f>$K$98*$Y$98</f>
        <v>0</v>
      </c>
      <c r="AF98" s="6">
        <f ca="1">$M$98*$Z$98</f>
        <v>12946.534812761871</v>
      </c>
      <c r="AG98" s="6">
        <f>$O$98*$AA$98</f>
        <v>542.3429855149767</v>
      </c>
    </row>
    <row r="99" spans="1:33" ht="11.25" customHeight="1" x14ac:dyDescent="0.3">
      <c r="A99" s="4" t="s">
        <v>21</v>
      </c>
      <c r="B99" s="4" t="s">
        <v>35</v>
      </c>
      <c r="C99" s="4" t="s">
        <v>36</v>
      </c>
      <c r="D99" s="4" t="s">
        <v>48</v>
      </c>
      <c r="E99" s="4" t="s">
        <v>49</v>
      </c>
      <c r="F99" s="4" t="s">
        <v>25</v>
      </c>
      <c r="G99" s="4" t="s">
        <v>25</v>
      </c>
      <c r="H99" s="4" t="s">
        <v>37</v>
      </c>
      <c r="I99" s="5">
        <v>44531</v>
      </c>
      <c r="J99" s="6">
        <v>0</v>
      </c>
      <c r="K99" s="53">
        <v>0</v>
      </c>
      <c r="L99" s="6">
        <v>5.7910000000000004</v>
      </c>
      <c r="M99" s="53">
        <v>5.7910000000000004</v>
      </c>
      <c r="N99" s="6">
        <v>5.7910000000000004</v>
      </c>
      <c r="O99" s="53">
        <v>5.7910000000000004</v>
      </c>
      <c r="P99" s="6">
        <v>0</v>
      </c>
      <c r="Q99" s="4" t="s">
        <v>26</v>
      </c>
      <c r="R99" s="4">
        <v>0</v>
      </c>
      <c r="S99" s="6">
        <v>0</v>
      </c>
      <c r="T99" s="6">
        <v>32</v>
      </c>
      <c r="U99" s="6">
        <v>34</v>
      </c>
      <c r="V99" s="53">
        <f>IF(ISERROR(VLOOKUP($S$99,'TAR FIN'!$A$1:$O$85,15,0)),0,VLOOKUP($S$99,'TAR FIN'!$A$1:$O$85,15,0))</f>
        <v>0</v>
      </c>
      <c r="W99" s="53">
        <f>IF(ISERROR(VLOOKUP($T$99,'TAR FIN'!$A$1:$O$85,15,0)),0,VLOOKUP($T$99,'TAR FIN'!$A$1:$O$85,15,0))*(1-0.06)</f>
        <v>2688.2496000000001</v>
      </c>
      <c r="X99" s="53">
        <f>IF(ISERROR(VLOOKUP($U$99,'TAR FIN'!$A$1:$O$85,15,0)),0,VLOOKUP($U$99,'TAR FIN'!$A$1:$O$85,15,0))*(1-0.06)</f>
        <v>112.7718</v>
      </c>
      <c r="Y99" s="53"/>
      <c r="Z99" s="53">
        <f ca="1">('TUSD BE'!$AM$11+'TUSD BF'!$AM$11+'TUSD CVA'!$AM$11)*1*(1-0.03)</f>
        <v>2838.5298865954551</v>
      </c>
      <c r="AA99" s="53">
        <f>('TE BE'!$AB$5+'TE BF'!$AB$5+'TE CVA'!$AB$5)*1*(1-0.03)</f>
        <v>118.90878875575021</v>
      </c>
      <c r="AB99" s="6">
        <f>$K$99*$V$99</f>
        <v>0</v>
      </c>
      <c r="AC99" s="6">
        <f>$M$99*$W$99</f>
        <v>15567.653433600002</v>
      </c>
      <c r="AD99" s="6">
        <f>$O$99*$X$99</f>
        <v>653.06149379999999</v>
      </c>
      <c r="AE99" s="6">
        <f>$K$99*$Y$99</f>
        <v>0</v>
      </c>
      <c r="AF99" s="6">
        <f ca="1">$M$99*$Z$99</f>
        <v>16437.926573274282</v>
      </c>
      <c r="AG99" s="6">
        <f>$O$99*$AA$99</f>
        <v>688.60079568454955</v>
      </c>
    </row>
    <row r="100" spans="1:33" ht="11.25" customHeight="1" x14ac:dyDescent="0.3">
      <c r="A100" s="4" t="s">
        <v>21</v>
      </c>
      <c r="B100" s="4" t="s">
        <v>35</v>
      </c>
      <c r="C100" s="4" t="s">
        <v>36</v>
      </c>
      <c r="D100" s="4" t="s">
        <v>48</v>
      </c>
      <c r="E100" s="4" t="s">
        <v>49</v>
      </c>
      <c r="F100" s="4" t="s">
        <v>25</v>
      </c>
      <c r="G100" s="4" t="s">
        <v>25</v>
      </c>
      <c r="H100" s="4" t="s">
        <v>37</v>
      </c>
      <c r="I100" s="5">
        <v>44562</v>
      </c>
      <c r="J100" s="6">
        <v>0</v>
      </c>
      <c r="K100" s="53">
        <v>0</v>
      </c>
      <c r="L100" s="6">
        <v>5.6879999999999997</v>
      </c>
      <c r="M100" s="53">
        <v>5.6879999999999997</v>
      </c>
      <c r="N100" s="6">
        <v>5.6879999999999997</v>
      </c>
      <c r="O100" s="53">
        <v>5.6879999999999997</v>
      </c>
      <c r="P100" s="6">
        <v>0</v>
      </c>
      <c r="Q100" s="4" t="s">
        <v>26</v>
      </c>
      <c r="R100" s="4">
        <v>0</v>
      </c>
      <c r="S100" s="6">
        <v>0</v>
      </c>
      <c r="T100" s="6">
        <v>32</v>
      </c>
      <c r="U100" s="6">
        <v>34</v>
      </c>
      <c r="V100" s="53">
        <f>IF(ISERROR(VLOOKUP($S$100,'TAR FIN'!$A$1:$O$85,15,0)),0,VLOOKUP($S$100,'TAR FIN'!$A$1:$O$85,15,0))</f>
        <v>0</v>
      </c>
      <c r="W100" s="53">
        <f>IF(ISERROR(VLOOKUP($T$100,'TAR FIN'!$A$1:$O$85,15,0)),0,VLOOKUP($T$100,'TAR FIN'!$A$1:$O$85,15,0))*(1-0.06)</f>
        <v>2688.2496000000001</v>
      </c>
      <c r="X100" s="53">
        <f>IF(ISERROR(VLOOKUP($U$100,'TAR FIN'!$A$1:$O$85,15,0)),0,VLOOKUP($U$100,'TAR FIN'!$A$1:$O$85,15,0))*(1-0.06)</f>
        <v>112.7718</v>
      </c>
      <c r="Y100" s="53"/>
      <c r="Z100" s="53">
        <f ca="1">('TUSD BE'!$AM$11+'TUSD BF'!$AM$11+'TUSD CVA'!$AM$11)*1*(1-0.03)</f>
        <v>2838.5298865954551</v>
      </c>
      <c r="AA100" s="53">
        <f>('TE BE'!$AB$5+'TE BF'!$AB$5+'TE CVA'!$AB$5)*1*(1-0.03)</f>
        <v>118.90878875575021</v>
      </c>
      <c r="AB100" s="6">
        <f>$K$100*$V$100</f>
        <v>0</v>
      </c>
      <c r="AC100" s="6">
        <f>$M$100*$W$100</f>
        <v>15290.763724799999</v>
      </c>
      <c r="AD100" s="6">
        <f>$O$100*$X$100</f>
        <v>641.44599840000001</v>
      </c>
      <c r="AE100" s="6">
        <f>$K$100*$Y$100</f>
        <v>0</v>
      </c>
      <c r="AF100" s="6">
        <f ca="1">$M$100*$Z$100</f>
        <v>16145.557994954948</v>
      </c>
      <c r="AG100" s="6">
        <f>$O$100*$AA$100</f>
        <v>676.35319044270716</v>
      </c>
    </row>
    <row r="101" spans="1:33" ht="11.25" customHeight="1" x14ac:dyDescent="0.3">
      <c r="A101" s="4" t="s">
        <v>21</v>
      </c>
      <c r="B101" s="4" t="s">
        <v>35</v>
      </c>
      <c r="C101" s="4" t="s">
        <v>36</v>
      </c>
      <c r="D101" s="4" t="s">
        <v>48</v>
      </c>
      <c r="E101" s="4" t="s">
        <v>49</v>
      </c>
      <c r="F101" s="4" t="s">
        <v>25</v>
      </c>
      <c r="G101" s="4" t="s">
        <v>25</v>
      </c>
      <c r="H101" s="4" t="s">
        <v>37</v>
      </c>
      <c r="I101" s="5">
        <v>44593</v>
      </c>
      <c r="J101" s="6">
        <v>0</v>
      </c>
      <c r="K101" s="53">
        <v>0</v>
      </c>
      <c r="L101" s="6">
        <v>3.3929999999999998</v>
      </c>
      <c r="M101" s="53">
        <v>3.3929999999999998</v>
      </c>
      <c r="N101" s="6">
        <v>3.3929999999999998</v>
      </c>
      <c r="O101" s="53">
        <v>3.3929999999999998</v>
      </c>
      <c r="P101" s="6">
        <v>0</v>
      </c>
      <c r="Q101" s="4" t="s">
        <v>26</v>
      </c>
      <c r="R101" s="4">
        <v>0</v>
      </c>
      <c r="S101" s="6">
        <v>0</v>
      </c>
      <c r="T101" s="6">
        <v>32</v>
      </c>
      <c r="U101" s="6">
        <v>34</v>
      </c>
      <c r="V101" s="53">
        <f>IF(ISERROR(VLOOKUP($S$101,'TAR FIN'!$A$1:$O$85,15,0)),0,VLOOKUP($S$101,'TAR FIN'!$A$1:$O$85,15,0))</f>
        <v>0</v>
      </c>
      <c r="W101" s="53">
        <f>IF(ISERROR(VLOOKUP($T$101,'TAR FIN'!$A$1:$O$85,15,0)),0,VLOOKUP($T$101,'TAR FIN'!$A$1:$O$85,15,0))*(1-0.06)</f>
        <v>2688.2496000000001</v>
      </c>
      <c r="X101" s="53">
        <f>IF(ISERROR(VLOOKUP($U$101,'TAR FIN'!$A$1:$O$85,15,0)),0,VLOOKUP($U$101,'TAR FIN'!$A$1:$O$85,15,0))*(1-0.06)</f>
        <v>112.7718</v>
      </c>
      <c r="Y101" s="53"/>
      <c r="Z101" s="53">
        <f ca="1">('TUSD BE'!$AM$11+'TUSD BF'!$AM$11+'TUSD CVA'!$AM$11)*1*(1-0.03)</f>
        <v>2838.5298865954551</v>
      </c>
      <c r="AA101" s="53">
        <f>('TE BE'!$AB$5+'TE BF'!$AB$5+'TE CVA'!$AB$5)*1*(1-0.03)</f>
        <v>118.90878875575021</v>
      </c>
      <c r="AB101" s="6">
        <f>$K$101*$V$101</f>
        <v>0</v>
      </c>
      <c r="AC101" s="6">
        <f>$M$101*$W$101</f>
        <v>9121.2308928000002</v>
      </c>
      <c r="AD101" s="6">
        <f>$O$101*$X$101</f>
        <v>382.6347174</v>
      </c>
      <c r="AE101" s="6">
        <f>$K$101*$Y$101</f>
        <v>0</v>
      </c>
      <c r="AF101" s="6">
        <f ca="1">$M$101*$Z$101</f>
        <v>9631.131905218379</v>
      </c>
      <c r="AG101" s="6">
        <f>$O$101*$AA$101</f>
        <v>403.45752024826044</v>
      </c>
    </row>
    <row r="102" spans="1:33" ht="11.25" customHeight="1" x14ac:dyDescent="0.3">
      <c r="A102" s="4" t="s">
        <v>21</v>
      </c>
      <c r="B102" s="4" t="s">
        <v>35</v>
      </c>
      <c r="C102" s="4" t="s">
        <v>36</v>
      </c>
      <c r="D102" s="4" t="s">
        <v>48</v>
      </c>
      <c r="E102" s="4" t="s">
        <v>49</v>
      </c>
      <c r="F102" s="4" t="s">
        <v>25</v>
      </c>
      <c r="G102" s="4" t="s">
        <v>25</v>
      </c>
      <c r="H102" s="4" t="s">
        <v>37</v>
      </c>
      <c r="I102" s="5">
        <v>44621</v>
      </c>
      <c r="J102" s="6">
        <v>0</v>
      </c>
      <c r="K102" s="53">
        <v>0</v>
      </c>
      <c r="L102" s="6">
        <v>3.51</v>
      </c>
      <c r="M102" s="53">
        <v>3.51</v>
      </c>
      <c r="N102" s="6">
        <v>3.51</v>
      </c>
      <c r="O102" s="53">
        <v>3.51</v>
      </c>
      <c r="P102" s="6">
        <v>0</v>
      </c>
      <c r="Q102" s="4" t="s">
        <v>26</v>
      </c>
      <c r="R102" s="4">
        <v>0</v>
      </c>
      <c r="S102" s="6">
        <v>0</v>
      </c>
      <c r="T102" s="6">
        <v>32</v>
      </c>
      <c r="U102" s="6">
        <v>34</v>
      </c>
      <c r="V102" s="53">
        <f>IF(ISERROR(VLOOKUP($S$102,'TAR FIN'!$A$1:$O$85,15,0)),0,VLOOKUP($S$102,'TAR FIN'!$A$1:$O$85,15,0))</f>
        <v>0</v>
      </c>
      <c r="W102" s="53">
        <f>IF(ISERROR(VLOOKUP($T$102,'TAR FIN'!$A$1:$O$85,15,0)),0,VLOOKUP($T$102,'TAR FIN'!$A$1:$O$85,15,0))*(1-0.06)</f>
        <v>2688.2496000000001</v>
      </c>
      <c r="X102" s="53">
        <f>IF(ISERROR(VLOOKUP($U$102,'TAR FIN'!$A$1:$O$85,15,0)),0,VLOOKUP($U$102,'TAR FIN'!$A$1:$O$85,15,0))*(1-0.06)</f>
        <v>112.7718</v>
      </c>
      <c r="Y102" s="53"/>
      <c r="Z102" s="53">
        <f ca="1">('TUSD BE'!$AM$11+'TUSD BF'!$AM$11+'TUSD CVA'!$AM$11)*1*(1-0.03)</f>
        <v>2838.5298865954551</v>
      </c>
      <c r="AA102" s="53">
        <f>('TE BE'!$AB$5+'TE BF'!$AB$5+'TE CVA'!$AB$5)*1*(1-0.03)</f>
        <v>118.90878875575021</v>
      </c>
      <c r="AB102" s="6">
        <f>$K$102*$V$102</f>
        <v>0</v>
      </c>
      <c r="AC102" s="6">
        <f>$M$102*$W$102</f>
        <v>9435.7560959999992</v>
      </c>
      <c r="AD102" s="6">
        <f>$O$102*$X$102</f>
        <v>395.82901799999996</v>
      </c>
      <c r="AE102" s="6">
        <f>$K$102*$Y$102</f>
        <v>0</v>
      </c>
      <c r="AF102" s="6">
        <f ca="1">$M$102*$Z$102</f>
        <v>9963.2399019500463</v>
      </c>
      <c r="AG102" s="6">
        <f>$O$102*$AA$102</f>
        <v>417.36984853268319</v>
      </c>
    </row>
    <row r="103" spans="1:33" ht="11.25" customHeight="1" x14ac:dyDescent="0.3">
      <c r="A103" s="4" t="s">
        <v>21</v>
      </c>
      <c r="B103" s="4" t="s">
        <v>35</v>
      </c>
      <c r="C103" s="4" t="s">
        <v>36</v>
      </c>
      <c r="D103" s="4" t="s">
        <v>48</v>
      </c>
      <c r="E103" s="4" t="s">
        <v>49</v>
      </c>
      <c r="F103" s="4" t="s">
        <v>25</v>
      </c>
      <c r="G103" s="4" t="s">
        <v>25</v>
      </c>
      <c r="H103" s="4" t="s">
        <v>37</v>
      </c>
      <c r="I103" s="5">
        <v>44652</v>
      </c>
      <c r="J103" s="6">
        <v>0</v>
      </c>
      <c r="K103" s="53">
        <v>0</v>
      </c>
      <c r="L103" s="6">
        <v>3.347</v>
      </c>
      <c r="M103" s="53">
        <v>3.347</v>
      </c>
      <c r="N103" s="6">
        <v>3.347</v>
      </c>
      <c r="O103" s="53">
        <v>3.347</v>
      </c>
      <c r="P103" s="6">
        <v>0</v>
      </c>
      <c r="Q103" s="4" t="s">
        <v>26</v>
      </c>
      <c r="R103" s="4">
        <v>0</v>
      </c>
      <c r="S103" s="6">
        <v>0</v>
      </c>
      <c r="T103" s="6">
        <v>32</v>
      </c>
      <c r="U103" s="6">
        <v>34</v>
      </c>
      <c r="V103" s="53">
        <f>IF(ISERROR(VLOOKUP($S$103,'TAR FIN'!$A$1:$O$85,15,0)),0,VLOOKUP($S$103,'TAR FIN'!$A$1:$O$85,15,0))</f>
        <v>0</v>
      </c>
      <c r="W103" s="53">
        <f>IF(ISERROR(VLOOKUP($T$103,'TAR FIN'!$A$1:$O$85,15,0)),0,VLOOKUP($T$103,'TAR FIN'!$A$1:$O$85,15,0))*(1-0.06)</f>
        <v>2688.2496000000001</v>
      </c>
      <c r="X103" s="53">
        <f>IF(ISERROR(VLOOKUP($U$103,'TAR FIN'!$A$1:$O$85,15,0)),0,VLOOKUP($U$103,'TAR FIN'!$A$1:$O$85,15,0))*(1-0.06)</f>
        <v>112.7718</v>
      </c>
      <c r="Y103" s="53"/>
      <c r="Z103" s="53">
        <f ca="1">('TUSD BE'!$AM$11+'TUSD BF'!$AM$11+'TUSD CVA'!$AM$11)*1*(1-0.03)</f>
        <v>2838.5298865954551</v>
      </c>
      <c r="AA103" s="53">
        <f>('TE BE'!$AB$5+'TE BF'!$AB$5+'TE CVA'!$AB$5)*1*(1-0.03)</f>
        <v>118.90878875575021</v>
      </c>
      <c r="AB103" s="6">
        <f>$K$103*$V$103</f>
        <v>0</v>
      </c>
      <c r="AC103" s="6">
        <f>$M$103*$W$103</f>
        <v>8997.5714112000005</v>
      </c>
      <c r="AD103" s="6">
        <f>$O$103*$X$103</f>
        <v>377.4472146</v>
      </c>
      <c r="AE103" s="6">
        <f>$K$103*$Y$103</f>
        <v>0</v>
      </c>
      <c r="AF103" s="6">
        <f ca="1">$M$103*$Z$103</f>
        <v>9500.5595304349881</v>
      </c>
      <c r="AG103" s="6">
        <f>$O$103*$AA$103</f>
        <v>397.98771596549597</v>
      </c>
    </row>
    <row r="104" spans="1:33" ht="11.25" customHeight="1" x14ac:dyDescent="0.3">
      <c r="A104" s="4" t="s">
        <v>21</v>
      </c>
      <c r="B104" s="4" t="s">
        <v>35</v>
      </c>
      <c r="C104" s="4" t="s">
        <v>36</v>
      </c>
      <c r="D104" s="4" t="s">
        <v>48</v>
      </c>
      <c r="E104" s="4" t="s">
        <v>49</v>
      </c>
      <c r="F104" s="4" t="s">
        <v>25</v>
      </c>
      <c r="G104" s="4" t="s">
        <v>25</v>
      </c>
      <c r="H104" s="4" t="s">
        <v>37</v>
      </c>
      <c r="I104" s="5">
        <v>44682</v>
      </c>
      <c r="J104" s="6">
        <v>0</v>
      </c>
      <c r="K104" s="53">
        <v>0</v>
      </c>
      <c r="L104" s="6">
        <v>4.077</v>
      </c>
      <c r="M104" s="53">
        <v>4.077</v>
      </c>
      <c r="N104" s="6">
        <v>4.077</v>
      </c>
      <c r="O104" s="53">
        <v>4.077</v>
      </c>
      <c r="P104" s="6">
        <v>0</v>
      </c>
      <c r="Q104" s="4" t="s">
        <v>26</v>
      </c>
      <c r="R104" s="4">
        <v>0</v>
      </c>
      <c r="S104" s="6">
        <v>0</v>
      </c>
      <c r="T104" s="6">
        <v>32</v>
      </c>
      <c r="U104" s="6">
        <v>34</v>
      </c>
      <c r="V104" s="53">
        <f>IF(ISERROR(VLOOKUP($S$104,'TAR FIN'!$A$1:$O$85,15,0)),0,VLOOKUP($S$104,'TAR FIN'!$A$1:$O$85,15,0))</f>
        <v>0</v>
      </c>
      <c r="W104" s="53">
        <f>IF(ISERROR(VLOOKUP($T$104,'TAR FIN'!$A$1:$O$85,15,0)),0,VLOOKUP($T$104,'TAR FIN'!$A$1:$O$85,15,0))*(1-0.06)</f>
        <v>2688.2496000000001</v>
      </c>
      <c r="X104" s="53">
        <f>IF(ISERROR(VLOOKUP($U$104,'TAR FIN'!$A$1:$O$85,15,0)),0,VLOOKUP($U$104,'TAR FIN'!$A$1:$O$85,15,0))*(1-0.06)</f>
        <v>112.7718</v>
      </c>
      <c r="Y104" s="53"/>
      <c r="Z104" s="53">
        <f ca="1">('TUSD BE'!$AM$11+'TUSD BF'!$AM$11+'TUSD CVA'!$AM$11)*1*(1-0.03)</f>
        <v>2838.5298865954551</v>
      </c>
      <c r="AA104" s="53">
        <f>('TE BE'!$AB$5+'TE BF'!$AB$5+'TE CVA'!$AB$5)*1*(1-0.03)</f>
        <v>118.90878875575021</v>
      </c>
      <c r="AB104" s="6">
        <f>$K$104*$V$104</f>
        <v>0</v>
      </c>
      <c r="AC104" s="6">
        <f>$M$104*$W$104</f>
        <v>10959.9936192</v>
      </c>
      <c r="AD104" s="6">
        <f>$O$104*$X$104</f>
        <v>459.77062860000001</v>
      </c>
      <c r="AE104" s="6">
        <f>$K$104*$Y$104</f>
        <v>0</v>
      </c>
      <c r="AF104" s="6">
        <f ca="1">$M$104*$Z$104</f>
        <v>11572.686347649671</v>
      </c>
      <c r="AG104" s="6">
        <f>$O$104*$AA$104</f>
        <v>484.79113175719357</v>
      </c>
    </row>
    <row r="105" spans="1:33" ht="11.25" customHeight="1" x14ac:dyDescent="0.3">
      <c r="A105" s="4" t="s">
        <v>21</v>
      </c>
      <c r="B105" s="4" t="s">
        <v>35</v>
      </c>
      <c r="C105" s="4" t="s">
        <v>36</v>
      </c>
      <c r="D105" s="4" t="s">
        <v>48</v>
      </c>
      <c r="E105" s="4" t="s">
        <v>49</v>
      </c>
      <c r="F105" s="4" t="s">
        <v>25</v>
      </c>
      <c r="G105" s="4" t="s">
        <v>25</v>
      </c>
      <c r="H105" s="4" t="s">
        <v>37</v>
      </c>
      <c r="I105" s="5">
        <v>44713</v>
      </c>
      <c r="J105" s="6">
        <v>0</v>
      </c>
      <c r="K105" s="53">
        <v>0</v>
      </c>
      <c r="L105" s="6">
        <v>3.8940000000000001</v>
      </c>
      <c r="M105" s="53">
        <v>3.8940000000000001</v>
      </c>
      <c r="N105" s="6">
        <v>3.8940000000000001</v>
      </c>
      <c r="O105" s="53">
        <v>3.8940000000000001</v>
      </c>
      <c r="P105" s="6">
        <v>0</v>
      </c>
      <c r="Q105" s="4" t="s">
        <v>26</v>
      </c>
      <c r="R105" s="4">
        <v>0</v>
      </c>
      <c r="S105" s="6">
        <v>0</v>
      </c>
      <c r="T105" s="6">
        <v>32</v>
      </c>
      <c r="U105" s="6">
        <v>34</v>
      </c>
      <c r="V105" s="53">
        <f>IF(ISERROR(VLOOKUP($S$105,'TAR FIN'!$A$1:$O$85,15,0)),0,VLOOKUP($S$105,'TAR FIN'!$A$1:$O$85,15,0))</f>
        <v>0</v>
      </c>
      <c r="W105" s="53">
        <f>IF(ISERROR(VLOOKUP($T$105,'TAR FIN'!$A$1:$O$85,15,0)),0,VLOOKUP($T$105,'TAR FIN'!$A$1:$O$85,15,0))*(1-0.06)</f>
        <v>2688.2496000000001</v>
      </c>
      <c r="X105" s="53">
        <f>IF(ISERROR(VLOOKUP($U$105,'TAR FIN'!$A$1:$O$85,15,0)),0,VLOOKUP($U$105,'TAR FIN'!$A$1:$O$85,15,0))*(1-0.06)</f>
        <v>112.7718</v>
      </c>
      <c r="Y105" s="53"/>
      <c r="Z105" s="53">
        <f ca="1">('TUSD BE'!$AM$11+'TUSD BF'!$AM$11+'TUSD CVA'!$AM$11)*1*(1-0.03)</f>
        <v>2838.5298865954551</v>
      </c>
      <c r="AA105" s="53">
        <f>('TE BE'!$AB$5+'TE BF'!$AB$5+'TE CVA'!$AB$5)*1*(1-0.03)</f>
        <v>118.90878875575021</v>
      </c>
      <c r="AB105" s="6">
        <f>$K$105*$V$105</f>
        <v>0</v>
      </c>
      <c r="AC105" s="6">
        <f>$M$105*$W$105</f>
        <v>10468.043942400001</v>
      </c>
      <c r="AD105" s="6">
        <f>$O$105*$X$105</f>
        <v>439.13338920000001</v>
      </c>
      <c r="AE105" s="6">
        <f>$K$105*$Y$105</f>
        <v>0</v>
      </c>
      <c r="AF105" s="6">
        <f ca="1">$M$105*$Z$105</f>
        <v>11053.235378402702</v>
      </c>
      <c r="AG105" s="6">
        <f>$O$105*$AA$105</f>
        <v>463.0308234148913</v>
      </c>
    </row>
    <row r="106" spans="1:33" ht="11.25" customHeight="1" x14ac:dyDescent="0.3">
      <c r="A106" s="4" t="s">
        <v>21</v>
      </c>
      <c r="B106" s="4" t="s">
        <v>35</v>
      </c>
      <c r="C106" s="4" t="s">
        <v>36</v>
      </c>
      <c r="D106" s="4" t="s">
        <v>48</v>
      </c>
      <c r="E106" s="4" t="s">
        <v>49</v>
      </c>
      <c r="F106" s="4" t="s">
        <v>25</v>
      </c>
      <c r="G106" s="4" t="s">
        <v>25</v>
      </c>
      <c r="H106" s="4" t="s">
        <v>37</v>
      </c>
      <c r="I106" s="5">
        <v>44743</v>
      </c>
      <c r="J106" s="6">
        <v>0</v>
      </c>
      <c r="K106" s="53">
        <v>0</v>
      </c>
      <c r="L106" s="6">
        <v>4.5410000000000004</v>
      </c>
      <c r="M106" s="53">
        <v>4.5410000000000004</v>
      </c>
      <c r="N106" s="6">
        <v>4.5410000000000004</v>
      </c>
      <c r="O106" s="53">
        <v>4.5410000000000004</v>
      </c>
      <c r="P106" s="6">
        <v>0</v>
      </c>
      <c r="Q106" s="4" t="s">
        <v>26</v>
      </c>
      <c r="R106" s="4">
        <v>0</v>
      </c>
      <c r="S106" s="6">
        <v>0</v>
      </c>
      <c r="T106" s="6">
        <v>32</v>
      </c>
      <c r="U106" s="6">
        <v>34</v>
      </c>
      <c r="V106" s="53">
        <f>IF(ISERROR(VLOOKUP($S$106,'TAR FIN'!$A$1:$O$85,15,0)),0,VLOOKUP($S$106,'TAR FIN'!$A$1:$O$85,15,0))</f>
        <v>0</v>
      </c>
      <c r="W106" s="53">
        <f>IF(ISERROR(VLOOKUP($T$106,'TAR FIN'!$A$1:$O$85,15,0)),0,VLOOKUP($T$106,'TAR FIN'!$A$1:$O$85,15,0))*(1-0.06)</f>
        <v>2688.2496000000001</v>
      </c>
      <c r="X106" s="53">
        <f>IF(ISERROR(VLOOKUP($U$106,'TAR FIN'!$A$1:$O$85,15,0)),0,VLOOKUP($U$106,'TAR FIN'!$A$1:$O$85,15,0))*(1-0.06)</f>
        <v>112.7718</v>
      </c>
      <c r="Y106" s="53"/>
      <c r="Z106" s="53">
        <f ca="1">('TUSD BE'!$AM$11+'TUSD BF'!$AM$11+'TUSD CVA'!$AM$11)*1*(1-0.03)</f>
        <v>2838.5298865954551</v>
      </c>
      <c r="AA106" s="53">
        <f>('TE BE'!$AB$5+'TE BF'!$AB$5+'TE CVA'!$AB$5)*1*(1-0.03)</f>
        <v>118.90878875575021</v>
      </c>
      <c r="AB106" s="6">
        <f>$K$106*$V$106</f>
        <v>0</v>
      </c>
      <c r="AC106" s="6">
        <f>$M$106*$W$106</f>
        <v>12207.341433600002</v>
      </c>
      <c r="AD106" s="6">
        <f>$O$106*$X$106</f>
        <v>512.09674380000001</v>
      </c>
      <c r="AE106" s="6">
        <f>$K$106*$Y$106</f>
        <v>0</v>
      </c>
      <c r="AF106" s="6">
        <f ca="1">$M$106*$Z$106</f>
        <v>12889.764215029963</v>
      </c>
      <c r="AG106" s="6">
        <f>$O$106*$AA$106</f>
        <v>539.96480973986172</v>
      </c>
    </row>
    <row r="107" spans="1:33" ht="11.25" customHeight="1" x14ac:dyDescent="0.3">
      <c r="A107" s="4" t="s">
        <v>52</v>
      </c>
      <c r="B107" s="4" t="s">
        <v>35</v>
      </c>
      <c r="C107" s="4" t="s">
        <v>36</v>
      </c>
      <c r="D107" s="4" t="s">
        <v>48</v>
      </c>
      <c r="E107" s="4" t="s">
        <v>49</v>
      </c>
      <c r="F107" s="4" t="s">
        <v>25</v>
      </c>
      <c r="G107" s="4" t="s">
        <v>25</v>
      </c>
      <c r="H107" s="4" t="s">
        <v>37</v>
      </c>
      <c r="I107" s="5">
        <v>44774</v>
      </c>
      <c r="J107" s="6">
        <v>0</v>
      </c>
      <c r="K107" s="53">
        <v>0</v>
      </c>
      <c r="L107" s="6">
        <v>4.5410000000000004</v>
      </c>
      <c r="M107" s="53">
        <v>4.5410000000000004</v>
      </c>
      <c r="N107" s="6">
        <v>4.5410000000000004</v>
      </c>
      <c r="O107" s="53">
        <v>4.5410000000000004</v>
      </c>
      <c r="P107" s="6">
        <v>0</v>
      </c>
      <c r="Q107" s="4" t="s">
        <v>26</v>
      </c>
      <c r="R107" s="4">
        <v>0</v>
      </c>
      <c r="S107" s="6">
        <v>0</v>
      </c>
      <c r="T107" s="6">
        <v>32</v>
      </c>
      <c r="U107" s="6">
        <v>34</v>
      </c>
      <c r="V107" s="53">
        <f>IF(ISERROR(VLOOKUP($S$107,'TAR FIN'!$A$1:$O$85,15,0)),0,VLOOKUP($S$107,'TAR FIN'!$A$1:$O$85,15,0))</f>
        <v>0</v>
      </c>
      <c r="W107" s="53">
        <f>IF(ISERROR(VLOOKUP($T$107,'TAR FIN'!$A$1:$O$85,15,0)),0,VLOOKUP($T$107,'TAR FIN'!$A$1:$O$85,15,0))*(1-0.06)</f>
        <v>2688.2496000000001</v>
      </c>
      <c r="X107" s="53">
        <f>IF(ISERROR(VLOOKUP($U$107,'TAR FIN'!$A$1:$O$85,15,0)),0,VLOOKUP($U$107,'TAR FIN'!$A$1:$O$85,15,0))*(1-0.06)</f>
        <v>112.7718</v>
      </c>
      <c r="Y107" s="53"/>
      <c r="Z107" s="53">
        <f ca="1">('TUSD BE'!$AM$11+'TUSD BF'!$AM$11+'TUSD CVA'!$AM$11)*1*(1-0.03)</f>
        <v>2838.5298865954551</v>
      </c>
      <c r="AA107" s="53">
        <f>('TE BE'!$AB$5+'TE BF'!$AB$5+'TE CVA'!$AB$5)*1*(1-0.03)</f>
        <v>118.90878875575021</v>
      </c>
      <c r="AB107" s="6">
        <f>$K$107*$V$107</f>
        <v>0</v>
      </c>
      <c r="AC107" s="6">
        <f>$M$107*$W$107</f>
        <v>12207.341433600002</v>
      </c>
      <c r="AD107" s="6">
        <f>$O$107*$X$107</f>
        <v>512.09674380000001</v>
      </c>
      <c r="AE107" s="6">
        <f>$K$107*$Y$107</f>
        <v>0</v>
      </c>
      <c r="AF107" s="6">
        <f ca="1">$M$107*$Z$107</f>
        <v>12889.764215029963</v>
      </c>
      <c r="AG107" s="6">
        <f>$O$107*$AA$107</f>
        <v>539.96480973986172</v>
      </c>
    </row>
    <row r="108" spans="1:33" ht="11.25" customHeight="1" x14ac:dyDescent="0.3">
      <c r="A108" s="4" t="s">
        <v>21</v>
      </c>
      <c r="B108" s="4" t="s">
        <v>22</v>
      </c>
      <c r="C108" s="4" t="s">
        <v>23</v>
      </c>
      <c r="D108" s="4" t="s">
        <v>24</v>
      </c>
      <c r="E108" s="4" t="s">
        <v>24</v>
      </c>
      <c r="F108" s="4" t="s">
        <v>25</v>
      </c>
      <c r="G108" s="4" t="s">
        <v>25</v>
      </c>
      <c r="H108" s="4" t="s">
        <v>25</v>
      </c>
      <c r="I108" s="5">
        <v>44440</v>
      </c>
      <c r="J108" s="6">
        <v>0</v>
      </c>
      <c r="K108" s="6">
        <v>0</v>
      </c>
      <c r="L108" s="6">
        <v>480.62900000000002</v>
      </c>
      <c r="M108" s="6">
        <v>480.62900000000002</v>
      </c>
      <c r="N108" s="6">
        <v>480.62900000000002</v>
      </c>
      <c r="O108" s="6">
        <v>480.62900000000002</v>
      </c>
      <c r="P108" s="6">
        <v>3107</v>
      </c>
      <c r="Q108" s="4" t="s">
        <v>26</v>
      </c>
      <c r="R108" s="4">
        <v>0</v>
      </c>
      <c r="S108" s="6">
        <v>0</v>
      </c>
      <c r="T108" s="6">
        <v>15</v>
      </c>
      <c r="U108" s="6">
        <v>43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609.05999999999995</v>
      </c>
      <c r="X108" s="6">
        <f>IF(ISERROR(VLOOKUP($U$108,'TAR FIN'!$A$1:$O$85,15,0)),0,VLOOKUP($U$108,'TAR FIN'!$A$1:$O$85,15,0))</f>
        <v>119.97</v>
      </c>
      <c r="Y108" s="6"/>
      <c r="Z108" s="6">
        <f ca="1">('TUSD BE'!$AM$20+'TUSD BF'!$AM$20+'TUSD CVA'!$AM$20)*1</f>
        <v>659.71654674120782</v>
      </c>
      <c r="AA108" s="6">
        <f>('TE BE'!$AB$10+'TE BF'!$AB$10+'TE CVA'!$AB$10)*1</f>
        <v>122.58638016056723</v>
      </c>
      <c r="AB108" s="6">
        <f>$K$108*$V$108</f>
        <v>0</v>
      </c>
      <c r="AC108" s="6">
        <f>$M$108*$W$108</f>
        <v>292731.89873999998</v>
      </c>
      <c r="AD108" s="6">
        <f>$O$108*$X$108</f>
        <v>57661.061130000002</v>
      </c>
      <c r="AE108" s="6">
        <f>$K$108*$Y$108</f>
        <v>0</v>
      </c>
      <c r="AF108" s="6">
        <f ca="1">$M$108*$Z$108</f>
        <v>317078.90414368</v>
      </c>
      <c r="AG108" s="6">
        <f>$O$108*$AA$108</f>
        <v>58918.56931019327</v>
      </c>
    </row>
    <row r="109" spans="1:33" ht="11.25" customHeight="1" x14ac:dyDescent="0.3">
      <c r="A109" s="4" t="s">
        <v>27</v>
      </c>
      <c r="B109" s="4" t="s">
        <v>22</v>
      </c>
      <c r="C109" s="4" t="s">
        <v>23</v>
      </c>
      <c r="D109" s="4" t="s">
        <v>24</v>
      </c>
      <c r="E109" s="4" t="s">
        <v>24</v>
      </c>
      <c r="F109" s="4" t="s">
        <v>25</v>
      </c>
      <c r="G109" s="4" t="s">
        <v>25</v>
      </c>
      <c r="H109" s="4" t="s">
        <v>25</v>
      </c>
      <c r="I109" s="5">
        <v>44440</v>
      </c>
      <c r="J109" s="6">
        <v>0</v>
      </c>
      <c r="K109" s="6">
        <v>0</v>
      </c>
      <c r="L109" s="6">
        <v>-1.069</v>
      </c>
      <c r="M109" s="6">
        <v>-1.069</v>
      </c>
      <c r="N109" s="6">
        <v>-1.069</v>
      </c>
      <c r="O109" s="6">
        <v>-1.069</v>
      </c>
      <c r="P109" s="6">
        <v>0</v>
      </c>
      <c r="Q109" s="4" t="s">
        <v>26</v>
      </c>
      <c r="R109" s="4">
        <v>0</v>
      </c>
      <c r="S109" s="6">
        <v>0</v>
      </c>
      <c r="T109" s="6">
        <v>15</v>
      </c>
      <c r="U109" s="6">
        <v>43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609.05999999999995</v>
      </c>
      <c r="X109" s="6">
        <f>IF(ISERROR(VLOOKUP($U$109,'TAR FIN'!$A$1:$O$85,15,0)),0,VLOOKUP($U$109,'TAR FIN'!$A$1:$O$85,15,0))</f>
        <v>119.97</v>
      </c>
      <c r="Y109" s="6"/>
      <c r="Z109" s="6">
        <f ca="1">('TUSD BE'!$AM$20+'TUSD BF'!$AM$20+'TUSD CVA'!$AM$20)*1</f>
        <v>659.71654674120782</v>
      </c>
      <c r="AA109" s="6">
        <f>('TE BE'!$AB$10+'TE BF'!$AB$10+'TE CVA'!$AB$10)*1</f>
        <v>122.58638016056723</v>
      </c>
      <c r="AB109" s="6">
        <f>$K$109*$V$109</f>
        <v>0</v>
      </c>
      <c r="AC109" s="6">
        <f>$M$109*$W$109</f>
        <v>-651.08513999999991</v>
      </c>
      <c r="AD109" s="6">
        <f>$O$109*$X$109</f>
        <v>-128.24793</v>
      </c>
      <c r="AE109" s="6">
        <f>$K$109*$Y$109</f>
        <v>0</v>
      </c>
      <c r="AF109" s="6">
        <f ca="1">$M$109*$Z$109</f>
        <v>-705.23698846635114</v>
      </c>
      <c r="AG109" s="6">
        <f>$O$109*$AA$109</f>
        <v>-131.04484039164637</v>
      </c>
    </row>
    <row r="110" spans="1:33" ht="11.25" customHeight="1" x14ac:dyDescent="0.3">
      <c r="A110" s="4" t="s">
        <v>28</v>
      </c>
      <c r="B110" s="4" t="s">
        <v>22</v>
      </c>
      <c r="C110" s="4" t="s">
        <v>23</v>
      </c>
      <c r="D110" s="4" t="s">
        <v>24</v>
      </c>
      <c r="E110" s="4" t="s">
        <v>24</v>
      </c>
      <c r="F110" s="4" t="s">
        <v>25</v>
      </c>
      <c r="G110" s="4" t="s">
        <v>25</v>
      </c>
      <c r="H110" s="4" t="s">
        <v>25</v>
      </c>
      <c r="I110" s="5">
        <v>44440</v>
      </c>
      <c r="J110" s="6">
        <v>0</v>
      </c>
      <c r="K110" s="6">
        <v>0</v>
      </c>
      <c r="L110" s="6">
        <v>7.1079999999999997</v>
      </c>
      <c r="M110" s="6">
        <v>7.1079999999999997</v>
      </c>
      <c r="N110" s="6">
        <v>7.1079999999999997</v>
      </c>
      <c r="O110" s="6">
        <v>7.1079999999999997</v>
      </c>
      <c r="P110" s="6">
        <v>19</v>
      </c>
      <c r="Q110" s="4" t="s">
        <v>26</v>
      </c>
      <c r="R110" s="4">
        <v>0</v>
      </c>
      <c r="S110" s="6">
        <v>0</v>
      </c>
      <c r="T110" s="6">
        <v>15</v>
      </c>
      <c r="U110" s="6">
        <v>43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609.05999999999995</v>
      </c>
      <c r="X110" s="6">
        <f>IF(ISERROR(VLOOKUP($U$110,'TAR FIN'!$A$1:$O$85,15,0)),0,VLOOKUP($U$110,'TAR FIN'!$A$1:$O$85,15,0))</f>
        <v>119.97</v>
      </c>
      <c r="Y110" s="6"/>
      <c r="Z110" s="6">
        <f ca="1">('TUSD BE'!$AM$20+'TUSD BF'!$AM$20+'TUSD CVA'!$AM$20)*1</f>
        <v>659.71654674120782</v>
      </c>
      <c r="AA110" s="6">
        <f>('TE BE'!$AB$10+'TE BF'!$AB$10+'TE CVA'!$AB$10)*1</f>
        <v>122.58638016056723</v>
      </c>
      <c r="AB110" s="6">
        <f>$K$110*$V$110</f>
        <v>0</v>
      </c>
      <c r="AC110" s="6">
        <f>$M$110*$W$110</f>
        <v>4329.1984799999991</v>
      </c>
      <c r="AD110" s="6">
        <f>$O$110*$X$110</f>
        <v>852.74675999999999</v>
      </c>
      <c r="AE110" s="6">
        <f>$K$110*$Y$110</f>
        <v>0</v>
      </c>
      <c r="AF110" s="6">
        <f ca="1">$M$110*$Z$110</f>
        <v>4689.265214236505</v>
      </c>
      <c r="AG110" s="6">
        <f>$O$110*$AA$110</f>
        <v>871.34399018131182</v>
      </c>
    </row>
    <row r="111" spans="1:33" ht="11.25" customHeight="1" x14ac:dyDescent="0.3">
      <c r="A111" s="4" t="s">
        <v>21</v>
      </c>
      <c r="B111" s="4" t="s">
        <v>22</v>
      </c>
      <c r="C111" s="4" t="s">
        <v>23</v>
      </c>
      <c r="D111" s="4" t="s">
        <v>24</v>
      </c>
      <c r="E111" s="4" t="s">
        <v>24</v>
      </c>
      <c r="F111" s="4" t="s">
        <v>25</v>
      </c>
      <c r="G111" s="4" t="s">
        <v>25</v>
      </c>
      <c r="H111" s="4" t="s">
        <v>25</v>
      </c>
      <c r="I111" s="5">
        <v>44470</v>
      </c>
      <c r="J111" s="6">
        <v>0</v>
      </c>
      <c r="K111" s="6">
        <v>0</v>
      </c>
      <c r="L111" s="6">
        <v>529.947</v>
      </c>
      <c r="M111" s="6">
        <v>529.947</v>
      </c>
      <c r="N111" s="6">
        <v>529.947</v>
      </c>
      <c r="O111" s="6">
        <v>529.947</v>
      </c>
      <c r="P111" s="6">
        <v>3112</v>
      </c>
      <c r="Q111" s="4" t="s">
        <v>26</v>
      </c>
      <c r="R111" s="4">
        <v>0</v>
      </c>
      <c r="S111" s="6">
        <v>0</v>
      </c>
      <c r="T111" s="6">
        <v>15</v>
      </c>
      <c r="U111" s="6">
        <v>43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609.05999999999995</v>
      </c>
      <c r="X111" s="6">
        <f>IF(ISERROR(VLOOKUP($U$111,'TAR FIN'!$A$1:$O$85,15,0)),0,VLOOKUP($U$111,'TAR FIN'!$A$1:$O$85,15,0))</f>
        <v>119.97</v>
      </c>
      <c r="Y111" s="6"/>
      <c r="Z111" s="6">
        <f ca="1">('TUSD BE'!$AM$20+'TUSD BF'!$AM$20+'TUSD CVA'!$AM$20)*1</f>
        <v>659.71654674120782</v>
      </c>
      <c r="AA111" s="6">
        <f>('TE BE'!$AB$10+'TE BF'!$AB$10+'TE CVA'!$AB$10)*1</f>
        <v>122.58638016056723</v>
      </c>
      <c r="AB111" s="6">
        <f>$K$111*$V$111</f>
        <v>0</v>
      </c>
      <c r="AC111" s="6">
        <f>$M$111*$W$111</f>
        <v>322769.51981999999</v>
      </c>
      <c r="AD111" s="6">
        <f>$O$111*$X$111</f>
        <v>63577.741589999998</v>
      </c>
      <c r="AE111" s="6">
        <f>$K$111*$Y$111</f>
        <v>0</v>
      </c>
      <c r="AF111" s="6">
        <f ca="1">$M$111*$Z$111</f>
        <v>349614.80479586287</v>
      </c>
      <c r="AG111" s="6">
        <f>$O$111*$AA$111</f>
        <v>64964.284406952123</v>
      </c>
    </row>
    <row r="112" spans="1:33" ht="11.25" customHeight="1" x14ac:dyDescent="0.3">
      <c r="A112" s="4" t="s">
        <v>27</v>
      </c>
      <c r="B112" s="4" t="s">
        <v>22</v>
      </c>
      <c r="C112" s="4" t="s">
        <v>23</v>
      </c>
      <c r="D112" s="4" t="s">
        <v>24</v>
      </c>
      <c r="E112" s="4" t="s">
        <v>24</v>
      </c>
      <c r="F112" s="4" t="s">
        <v>25</v>
      </c>
      <c r="G112" s="4" t="s">
        <v>25</v>
      </c>
      <c r="H112" s="4" t="s">
        <v>25</v>
      </c>
      <c r="I112" s="5">
        <v>44470</v>
      </c>
      <c r="J112" s="6">
        <v>0</v>
      </c>
      <c r="K112" s="6">
        <v>0</v>
      </c>
      <c r="L112" s="6">
        <v>-7.6999999999999999E-2</v>
      </c>
      <c r="M112" s="6">
        <v>-7.6999999999999999E-2</v>
      </c>
      <c r="N112" s="6">
        <v>-7.6999999999999999E-2</v>
      </c>
      <c r="O112" s="6">
        <v>-7.6999999999999999E-2</v>
      </c>
      <c r="P112" s="6">
        <v>0</v>
      </c>
      <c r="Q112" s="4" t="s">
        <v>26</v>
      </c>
      <c r="R112" s="4">
        <v>0</v>
      </c>
      <c r="S112" s="6">
        <v>0</v>
      </c>
      <c r="T112" s="6">
        <v>15</v>
      </c>
      <c r="U112" s="6">
        <v>43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609.05999999999995</v>
      </c>
      <c r="X112" s="6">
        <f>IF(ISERROR(VLOOKUP($U$112,'TAR FIN'!$A$1:$O$85,15,0)),0,VLOOKUP($U$112,'TAR FIN'!$A$1:$O$85,15,0))</f>
        <v>119.97</v>
      </c>
      <c r="Y112" s="6"/>
      <c r="Z112" s="6">
        <f ca="1">('TUSD BE'!$AM$20+'TUSD BF'!$AM$20+'TUSD CVA'!$AM$20)*1</f>
        <v>659.71654674120782</v>
      </c>
      <c r="AA112" s="6">
        <f>('TE BE'!$AB$10+'TE BF'!$AB$10+'TE CVA'!$AB$10)*1</f>
        <v>122.58638016056723</v>
      </c>
      <c r="AB112" s="6">
        <f>$K$112*$V$112</f>
        <v>0</v>
      </c>
      <c r="AC112" s="6">
        <f>$M$112*$W$112</f>
        <v>-46.897619999999996</v>
      </c>
      <c r="AD112" s="6">
        <f>$O$112*$X$112</f>
        <v>-9.2376900000000006</v>
      </c>
      <c r="AE112" s="6">
        <f>$K$112*$Y$112</f>
        <v>0</v>
      </c>
      <c r="AF112" s="6">
        <f ca="1">$M$112*$Z$112</f>
        <v>-50.798174099073002</v>
      </c>
      <c r="AG112" s="6">
        <f>$O$112*$AA$112</f>
        <v>-9.4391512723636772</v>
      </c>
    </row>
    <row r="113" spans="1:33" ht="11.25" customHeight="1" x14ac:dyDescent="0.3">
      <c r="A113" s="4" t="s">
        <v>28</v>
      </c>
      <c r="B113" s="4" t="s">
        <v>22</v>
      </c>
      <c r="C113" s="4" t="s">
        <v>23</v>
      </c>
      <c r="D113" s="4" t="s">
        <v>24</v>
      </c>
      <c r="E113" s="4" t="s">
        <v>24</v>
      </c>
      <c r="F113" s="4" t="s">
        <v>25</v>
      </c>
      <c r="G113" s="4" t="s">
        <v>25</v>
      </c>
      <c r="H113" s="4" t="s">
        <v>25</v>
      </c>
      <c r="I113" s="5">
        <v>44470</v>
      </c>
      <c r="J113" s="6">
        <v>0</v>
      </c>
      <c r="K113" s="6">
        <v>0</v>
      </c>
      <c r="L113" s="6">
        <v>4.8079999999999998</v>
      </c>
      <c r="M113" s="6">
        <v>4.8079999999999998</v>
      </c>
      <c r="N113" s="6">
        <v>4.8079999999999998</v>
      </c>
      <c r="O113" s="6">
        <v>4.8079999999999998</v>
      </c>
      <c r="P113" s="6">
        <v>21</v>
      </c>
      <c r="Q113" s="4" t="s">
        <v>26</v>
      </c>
      <c r="R113" s="4">
        <v>0</v>
      </c>
      <c r="S113" s="6">
        <v>0</v>
      </c>
      <c r="T113" s="6">
        <v>15</v>
      </c>
      <c r="U113" s="6">
        <v>43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609.05999999999995</v>
      </c>
      <c r="X113" s="6">
        <f>IF(ISERROR(VLOOKUP($U$113,'TAR FIN'!$A$1:$O$85,15,0)),0,VLOOKUP($U$113,'TAR FIN'!$A$1:$O$85,15,0))</f>
        <v>119.97</v>
      </c>
      <c r="Y113" s="6"/>
      <c r="Z113" s="6">
        <f ca="1">('TUSD BE'!$AM$20+'TUSD BF'!$AM$20+'TUSD CVA'!$AM$20)*1</f>
        <v>659.71654674120782</v>
      </c>
      <c r="AA113" s="6">
        <f>('TE BE'!$AB$10+'TE BF'!$AB$10+'TE CVA'!$AB$10)*1</f>
        <v>122.58638016056723</v>
      </c>
      <c r="AB113" s="6">
        <f>$K$113*$V$113</f>
        <v>0</v>
      </c>
      <c r="AC113" s="6">
        <f>$M$113*$W$113</f>
        <v>2928.3604799999998</v>
      </c>
      <c r="AD113" s="6">
        <f>$O$113*$X$113</f>
        <v>576.81575999999995</v>
      </c>
      <c r="AE113" s="6">
        <f>$K$113*$Y$113</f>
        <v>0</v>
      </c>
      <c r="AF113" s="6">
        <f ca="1">$M$113*$Z$113</f>
        <v>3171.9171567317271</v>
      </c>
      <c r="AG113" s="6">
        <f>$O$113*$AA$113</f>
        <v>589.3953158120072</v>
      </c>
    </row>
    <row r="114" spans="1:33" ht="11.25" customHeight="1" x14ac:dyDescent="0.3">
      <c r="A114" s="4" t="s">
        <v>21</v>
      </c>
      <c r="B114" s="4" t="s">
        <v>22</v>
      </c>
      <c r="C114" s="4" t="s">
        <v>23</v>
      </c>
      <c r="D114" s="4" t="s">
        <v>24</v>
      </c>
      <c r="E114" s="4" t="s">
        <v>24</v>
      </c>
      <c r="F114" s="4" t="s">
        <v>25</v>
      </c>
      <c r="G114" s="4" t="s">
        <v>25</v>
      </c>
      <c r="H114" s="4" t="s">
        <v>25</v>
      </c>
      <c r="I114" s="5">
        <v>44501</v>
      </c>
      <c r="J114" s="6">
        <v>0</v>
      </c>
      <c r="K114" s="6">
        <v>0</v>
      </c>
      <c r="L114" s="6">
        <v>518.81799999999998</v>
      </c>
      <c r="M114" s="6">
        <v>518.81799999999998</v>
      </c>
      <c r="N114" s="6">
        <v>518.81799999999998</v>
      </c>
      <c r="O114" s="6">
        <v>518.81799999999998</v>
      </c>
      <c r="P114" s="6">
        <v>3127</v>
      </c>
      <c r="Q114" s="4" t="s">
        <v>26</v>
      </c>
      <c r="R114" s="4">
        <v>0</v>
      </c>
      <c r="S114" s="6">
        <v>0</v>
      </c>
      <c r="T114" s="6">
        <v>15</v>
      </c>
      <c r="U114" s="6">
        <v>43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609.05999999999995</v>
      </c>
      <c r="X114" s="6">
        <f>IF(ISERROR(VLOOKUP($U$114,'TAR FIN'!$A$1:$O$85,15,0)),0,VLOOKUP($U$114,'TAR FIN'!$A$1:$O$85,15,0))</f>
        <v>119.97</v>
      </c>
      <c r="Y114" s="6"/>
      <c r="Z114" s="6">
        <f ca="1">('TUSD BE'!$AM$20+'TUSD BF'!$AM$20+'TUSD CVA'!$AM$20)*1</f>
        <v>659.71654674120782</v>
      </c>
      <c r="AA114" s="6">
        <f>('TE BE'!$AB$10+'TE BF'!$AB$10+'TE CVA'!$AB$10)*1</f>
        <v>122.58638016056723</v>
      </c>
      <c r="AB114" s="6">
        <f>$K$114*$V$114</f>
        <v>0</v>
      </c>
      <c r="AC114" s="6">
        <f>$M$114*$W$114</f>
        <v>315991.29107999994</v>
      </c>
      <c r="AD114" s="6">
        <f>$O$114*$X$114</f>
        <v>62242.595459999997</v>
      </c>
      <c r="AE114" s="6">
        <f>$K$114*$Y$114</f>
        <v>0</v>
      </c>
      <c r="AF114" s="6">
        <f ca="1">$M$114*$Z$114</f>
        <v>342272.81934717996</v>
      </c>
      <c r="AG114" s="6">
        <f>$O$114*$AA$114</f>
        <v>63600.020582145167</v>
      </c>
    </row>
    <row r="115" spans="1:33" ht="11.25" customHeight="1" x14ac:dyDescent="0.3">
      <c r="A115" s="4" t="s">
        <v>27</v>
      </c>
      <c r="B115" s="4" t="s">
        <v>22</v>
      </c>
      <c r="C115" s="4" t="s">
        <v>23</v>
      </c>
      <c r="D115" s="4" t="s">
        <v>24</v>
      </c>
      <c r="E115" s="4" t="s">
        <v>24</v>
      </c>
      <c r="F115" s="4" t="s">
        <v>25</v>
      </c>
      <c r="G115" s="4" t="s">
        <v>25</v>
      </c>
      <c r="H115" s="4" t="s">
        <v>25</v>
      </c>
      <c r="I115" s="5">
        <v>44501</v>
      </c>
      <c r="J115" s="6">
        <v>0</v>
      </c>
      <c r="K115" s="6">
        <v>0</v>
      </c>
      <c r="L115" s="6">
        <v>-10.615</v>
      </c>
      <c r="M115" s="6">
        <v>-10.615</v>
      </c>
      <c r="N115" s="6">
        <v>-10.615</v>
      </c>
      <c r="O115" s="6">
        <v>-10.615</v>
      </c>
      <c r="P115" s="6">
        <v>0</v>
      </c>
      <c r="Q115" s="4" t="s">
        <v>26</v>
      </c>
      <c r="R115" s="4">
        <v>0</v>
      </c>
      <c r="S115" s="6">
        <v>0</v>
      </c>
      <c r="T115" s="6">
        <v>15</v>
      </c>
      <c r="U115" s="6">
        <v>43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609.05999999999995</v>
      </c>
      <c r="X115" s="6">
        <f>IF(ISERROR(VLOOKUP($U$115,'TAR FIN'!$A$1:$O$85,15,0)),0,VLOOKUP($U$115,'TAR FIN'!$A$1:$O$85,15,0))</f>
        <v>119.97</v>
      </c>
      <c r="Y115" s="6"/>
      <c r="Z115" s="6">
        <f ca="1">('TUSD BE'!$AM$20+'TUSD BF'!$AM$20+'TUSD CVA'!$AM$20)*1</f>
        <v>659.71654674120782</v>
      </c>
      <c r="AA115" s="6">
        <f>('TE BE'!$AB$10+'TE BF'!$AB$10+'TE CVA'!$AB$10)*1</f>
        <v>122.58638016056723</v>
      </c>
      <c r="AB115" s="6">
        <f>$K$115*$V$115</f>
        <v>0</v>
      </c>
      <c r="AC115" s="6">
        <f>$M$115*$W$115</f>
        <v>-6465.1718999999994</v>
      </c>
      <c r="AD115" s="6">
        <f>$O$115*$X$115</f>
        <v>-1273.48155</v>
      </c>
      <c r="AE115" s="6">
        <f>$K$115*$Y$115</f>
        <v>0</v>
      </c>
      <c r="AF115" s="6">
        <f ca="1">$M$115*$Z$115</f>
        <v>-7002.891143657921</v>
      </c>
      <c r="AG115" s="6">
        <f>$O$115*$AA$115</f>
        <v>-1301.2544254044212</v>
      </c>
    </row>
    <row r="116" spans="1:33" ht="11.25" customHeight="1" x14ac:dyDescent="0.3">
      <c r="A116" s="4" t="s">
        <v>21</v>
      </c>
      <c r="B116" s="4" t="s">
        <v>22</v>
      </c>
      <c r="C116" s="4" t="s">
        <v>23</v>
      </c>
      <c r="D116" s="4" t="s">
        <v>24</v>
      </c>
      <c r="E116" s="4" t="s">
        <v>24</v>
      </c>
      <c r="F116" s="4" t="s">
        <v>25</v>
      </c>
      <c r="G116" s="4" t="s">
        <v>25</v>
      </c>
      <c r="H116" s="4" t="s">
        <v>25</v>
      </c>
      <c r="I116" s="5">
        <v>44531</v>
      </c>
      <c r="J116" s="6">
        <v>0</v>
      </c>
      <c r="K116" s="6">
        <v>0</v>
      </c>
      <c r="L116" s="6">
        <v>532.57899999999995</v>
      </c>
      <c r="M116" s="6">
        <v>532.57899999999995</v>
      </c>
      <c r="N116" s="6">
        <v>532.57899999999995</v>
      </c>
      <c r="O116" s="6">
        <v>532.57899999999995</v>
      </c>
      <c r="P116" s="6">
        <v>3118</v>
      </c>
      <c r="Q116" s="4" t="s">
        <v>26</v>
      </c>
      <c r="R116" s="4">
        <v>0</v>
      </c>
      <c r="S116" s="6">
        <v>0</v>
      </c>
      <c r="T116" s="6">
        <v>15</v>
      </c>
      <c r="U116" s="6">
        <v>43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609.05999999999995</v>
      </c>
      <c r="X116" s="6">
        <f>IF(ISERROR(VLOOKUP($U$116,'TAR FIN'!$A$1:$O$85,15,0)),0,VLOOKUP($U$116,'TAR FIN'!$A$1:$O$85,15,0))</f>
        <v>119.97</v>
      </c>
      <c r="Y116" s="6"/>
      <c r="Z116" s="6">
        <f ca="1">('TUSD BE'!$AM$20+'TUSD BF'!$AM$20+'TUSD CVA'!$AM$20)*1</f>
        <v>659.71654674120782</v>
      </c>
      <c r="AA116" s="6">
        <f>('TE BE'!$AB$10+'TE BF'!$AB$10+'TE CVA'!$AB$10)*1</f>
        <v>122.58638016056723</v>
      </c>
      <c r="AB116" s="6">
        <f>$K$116*$V$116</f>
        <v>0</v>
      </c>
      <c r="AC116" s="6">
        <f>$M$116*$W$116</f>
        <v>324372.56573999993</v>
      </c>
      <c r="AD116" s="6">
        <f>$O$116*$X$116</f>
        <v>63893.502629999995</v>
      </c>
      <c r="AE116" s="6">
        <f>$K$116*$Y$116</f>
        <v>0</v>
      </c>
      <c r="AF116" s="6">
        <f ca="1">$M$116*$Z$116</f>
        <v>351351.17874688568</v>
      </c>
      <c r="AG116" s="6">
        <f>$O$116*$AA$116</f>
        <v>65286.931759534731</v>
      </c>
    </row>
    <row r="117" spans="1:33" ht="11.25" customHeight="1" x14ac:dyDescent="0.3">
      <c r="A117" s="4" t="s">
        <v>27</v>
      </c>
      <c r="B117" s="4" t="s">
        <v>22</v>
      </c>
      <c r="C117" s="4" t="s">
        <v>23</v>
      </c>
      <c r="D117" s="4" t="s">
        <v>24</v>
      </c>
      <c r="E117" s="4" t="s">
        <v>24</v>
      </c>
      <c r="F117" s="4" t="s">
        <v>25</v>
      </c>
      <c r="G117" s="4" t="s">
        <v>25</v>
      </c>
      <c r="H117" s="4" t="s">
        <v>25</v>
      </c>
      <c r="I117" s="5">
        <v>44531</v>
      </c>
      <c r="J117" s="6">
        <v>0</v>
      </c>
      <c r="K117" s="6">
        <v>0</v>
      </c>
      <c r="L117" s="6">
        <v>-37.978000000000002</v>
      </c>
      <c r="M117" s="6">
        <v>-37.978000000000002</v>
      </c>
      <c r="N117" s="6">
        <v>-37.978000000000002</v>
      </c>
      <c r="O117" s="6">
        <v>-37.978000000000002</v>
      </c>
      <c r="P117" s="6">
        <v>0</v>
      </c>
      <c r="Q117" s="4" t="s">
        <v>26</v>
      </c>
      <c r="R117" s="4">
        <v>0</v>
      </c>
      <c r="S117" s="6">
        <v>0</v>
      </c>
      <c r="T117" s="6">
        <v>15</v>
      </c>
      <c r="U117" s="6">
        <v>43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609.05999999999995</v>
      </c>
      <c r="X117" s="6">
        <f>IF(ISERROR(VLOOKUP($U$117,'TAR FIN'!$A$1:$O$85,15,0)),0,VLOOKUP($U$117,'TAR FIN'!$A$1:$O$85,15,0))</f>
        <v>119.97</v>
      </c>
      <c r="Y117" s="6"/>
      <c r="Z117" s="6">
        <f ca="1">('TUSD BE'!$AM$20+'TUSD BF'!$AM$20+'TUSD CVA'!$AM$20)*1</f>
        <v>659.71654674120782</v>
      </c>
      <c r="AA117" s="6">
        <f>('TE BE'!$AB$10+'TE BF'!$AB$10+'TE CVA'!$AB$10)*1</f>
        <v>122.58638016056723</v>
      </c>
      <c r="AB117" s="6">
        <f>$K$117*$V$117</f>
        <v>0</v>
      </c>
      <c r="AC117" s="6">
        <f>$M$117*$W$117</f>
        <v>-23130.880679999998</v>
      </c>
      <c r="AD117" s="6">
        <f>$O$117*$X$117</f>
        <v>-4556.22066</v>
      </c>
      <c r="AE117" s="6">
        <f>$K$117*$Y$117</f>
        <v>0</v>
      </c>
      <c r="AF117" s="6">
        <f ca="1">$M$117*$Z$117</f>
        <v>-25054.715012137593</v>
      </c>
      <c r="AG117" s="6">
        <f>$O$117*$AA$117</f>
        <v>-4655.5855457380221</v>
      </c>
    </row>
    <row r="118" spans="1:33" ht="11.25" customHeight="1" x14ac:dyDescent="0.3">
      <c r="A118" s="4" t="s">
        <v>28</v>
      </c>
      <c r="B118" s="4" t="s">
        <v>22</v>
      </c>
      <c r="C118" s="4" t="s">
        <v>23</v>
      </c>
      <c r="D118" s="4" t="s">
        <v>24</v>
      </c>
      <c r="E118" s="4" t="s">
        <v>24</v>
      </c>
      <c r="F118" s="4" t="s">
        <v>25</v>
      </c>
      <c r="G118" s="4" t="s">
        <v>25</v>
      </c>
      <c r="H118" s="4" t="s">
        <v>25</v>
      </c>
      <c r="I118" s="5">
        <v>44531</v>
      </c>
      <c r="J118" s="6">
        <v>0</v>
      </c>
      <c r="K118" s="6">
        <v>0</v>
      </c>
      <c r="L118" s="6">
        <v>6.3559999999999999</v>
      </c>
      <c r="M118" s="6">
        <v>6.3559999999999999</v>
      </c>
      <c r="N118" s="6">
        <v>6.3559999999999999</v>
      </c>
      <c r="O118" s="6">
        <v>6.3559999999999999</v>
      </c>
      <c r="P118" s="6">
        <v>31</v>
      </c>
      <c r="Q118" s="4" t="s">
        <v>26</v>
      </c>
      <c r="R118" s="4">
        <v>0</v>
      </c>
      <c r="S118" s="6">
        <v>0</v>
      </c>
      <c r="T118" s="6">
        <v>15</v>
      </c>
      <c r="U118" s="6">
        <v>43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609.05999999999995</v>
      </c>
      <c r="X118" s="6">
        <f>IF(ISERROR(VLOOKUP($U$118,'TAR FIN'!$A$1:$O$85,15,0)),0,VLOOKUP($U$118,'TAR FIN'!$A$1:$O$85,15,0))</f>
        <v>119.97</v>
      </c>
      <c r="Y118" s="6"/>
      <c r="Z118" s="6">
        <f ca="1">('TUSD BE'!$AM$20+'TUSD BF'!$AM$20+'TUSD CVA'!$AM$20)*1</f>
        <v>659.71654674120782</v>
      </c>
      <c r="AA118" s="6">
        <f>('TE BE'!$AB$10+'TE BF'!$AB$10+'TE CVA'!$AB$10)*1</f>
        <v>122.58638016056723</v>
      </c>
      <c r="AB118" s="6">
        <f>$K$118*$V$118</f>
        <v>0</v>
      </c>
      <c r="AC118" s="6">
        <f>$M$118*$W$118</f>
        <v>3871.1853599999995</v>
      </c>
      <c r="AD118" s="6">
        <f>$O$118*$X$118</f>
        <v>762.52931999999998</v>
      </c>
      <c r="AE118" s="6">
        <f>$K$118*$Y$118</f>
        <v>0</v>
      </c>
      <c r="AF118" s="6">
        <f ca="1">$M$118*$Z$118</f>
        <v>4193.1583710871164</v>
      </c>
      <c r="AG118" s="6">
        <f>$O$118*$AA$118</f>
        <v>779.15903230056529</v>
      </c>
    </row>
    <row r="119" spans="1:33" ht="11.25" customHeight="1" x14ac:dyDescent="0.3">
      <c r="A119" s="4" t="s">
        <v>21</v>
      </c>
      <c r="B119" s="4" t="s">
        <v>22</v>
      </c>
      <c r="C119" s="4" t="s">
        <v>23</v>
      </c>
      <c r="D119" s="4" t="s">
        <v>24</v>
      </c>
      <c r="E119" s="4" t="s">
        <v>24</v>
      </c>
      <c r="F119" s="4" t="s">
        <v>25</v>
      </c>
      <c r="G119" s="4" t="s">
        <v>25</v>
      </c>
      <c r="H119" s="4" t="s">
        <v>25</v>
      </c>
      <c r="I119" s="5">
        <v>44562</v>
      </c>
      <c r="J119" s="6">
        <v>0</v>
      </c>
      <c r="K119" s="6">
        <v>0</v>
      </c>
      <c r="L119" s="6">
        <v>575.85500000000002</v>
      </c>
      <c r="M119" s="6">
        <v>575.85500000000002</v>
      </c>
      <c r="N119" s="6">
        <v>575.85500000000002</v>
      </c>
      <c r="O119" s="6">
        <v>575.85500000000002</v>
      </c>
      <c r="P119" s="6">
        <v>3116</v>
      </c>
      <c r="Q119" s="4" t="s">
        <v>26</v>
      </c>
      <c r="R119" s="4">
        <v>0</v>
      </c>
      <c r="S119" s="6">
        <v>0</v>
      </c>
      <c r="T119" s="6">
        <v>15</v>
      </c>
      <c r="U119" s="6">
        <v>43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609.05999999999995</v>
      </c>
      <c r="X119" s="6">
        <f>IF(ISERROR(VLOOKUP($U$119,'TAR FIN'!$A$1:$O$85,15,0)),0,VLOOKUP($U$119,'TAR FIN'!$A$1:$O$85,15,0))</f>
        <v>119.97</v>
      </c>
      <c r="Y119" s="6"/>
      <c r="Z119" s="6">
        <f ca="1">('TUSD BE'!$AM$20+'TUSD BF'!$AM$20+'TUSD CVA'!$AM$20)*1</f>
        <v>659.71654674120782</v>
      </c>
      <c r="AA119" s="6">
        <f>('TE BE'!$AB$10+'TE BF'!$AB$10+'TE CVA'!$AB$10)*1</f>
        <v>122.58638016056723</v>
      </c>
      <c r="AB119" s="6">
        <f>$K$119*$V$119</f>
        <v>0</v>
      </c>
      <c r="AC119" s="6">
        <f>$M$119*$W$119</f>
        <v>350730.2463</v>
      </c>
      <c r="AD119" s="6">
        <f>$O$119*$X$119</f>
        <v>69085.324349999995</v>
      </c>
      <c r="AE119" s="6">
        <f>$K$119*$Y$119</f>
        <v>0</v>
      </c>
      <c r="AF119" s="6">
        <f ca="1">$M$119*$Z$119</f>
        <v>379901.07202365826</v>
      </c>
      <c r="AG119" s="6">
        <f>$O$119*$AA$119</f>
        <v>70591.979947363448</v>
      </c>
    </row>
    <row r="120" spans="1:33" ht="11.25" customHeight="1" x14ac:dyDescent="0.3">
      <c r="A120" s="4" t="s">
        <v>27</v>
      </c>
      <c r="B120" s="4" t="s">
        <v>22</v>
      </c>
      <c r="C120" s="4" t="s">
        <v>23</v>
      </c>
      <c r="D120" s="4" t="s">
        <v>24</v>
      </c>
      <c r="E120" s="4" t="s">
        <v>24</v>
      </c>
      <c r="F120" s="4" t="s">
        <v>25</v>
      </c>
      <c r="G120" s="4" t="s">
        <v>25</v>
      </c>
      <c r="H120" s="4" t="s">
        <v>25</v>
      </c>
      <c r="I120" s="5">
        <v>44562</v>
      </c>
      <c r="J120" s="6">
        <v>0</v>
      </c>
      <c r="K120" s="6">
        <v>0</v>
      </c>
      <c r="L120" s="6">
        <v>-8.907</v>
      </c>
      <c r="M120" s="6">
        <v>-8.907</v>
      </c>
      <c r="N120" s="6">
        <v>-8.907</v>
      </c>
      <c r="O120" s="6">
        <v>-8.907</v>
      </c>
      <c r="P120" s="6">
        <v>0</v>
      </c>
      <c r="Q120" s="4" t="s">
        <v>26</v>
      </c>
      <c r="R120" s="4">
        <v>0</v>
      </c>
      <c r="S120" s="6">
        <v>0</v>
      </c>
      <c r="T120" s="6">
        <v>15</v>
      </c>
      <c r="U120" s="6">
        <v>43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609.05999999999995</v>
      </c>
      <c r="X120" s="6">
        <f>IF(ISERROR(VLOOKUP($U$120,'TAR FIN'!$A$1:$O$85,15,0)),0,VLOOKUP($U$120,'TAR FIN'!$A$1:$O$85,15,0))</f>
        <v>119.97</v>
      </c>
      <c r="Y120" s="6"/>
      <c r="Z120" s="6">
        <f ca="1">('TUSD BE'!$AM$20+'TUSD BF'!$AM$20+'TUSD CVA'!$AM$20)*1</f>
        <v>659.71654674120782</v>
      </c>
      <c r="AA120" s="6">
        <f>('TE BE'!$AB$10+'TE BF'!$AB$10+'TE CVA'!$AB$10)*1</f>
        <v>122.58638016056723</v>
      </c>
      <c r="AB120" s="6">
        <f>$K$120*$V$120</f>
        <v>0</v>
      </c>
      <c r="AC120" s="6">
        <f>$M$120*$W$120</f>
        <v>-5424.8974199999993</v>
      </c>
      <c r="AD120" s="6">
        <f>$O$120*$X$120</f>
        <v>-1068.5727899999999</v>
      </c>
      <c r="AE120" s="6">
        <f>$K$120*$Y$120</f>
        <v>0</v>
      </c>
      <c r="AF120" s="6">
        <f ca="1">$M$120*$Z$120</f>
        <v>-5876.0952818239384</v>
      </c>
      <c r="AG120" s="6">
        <f>$O$120*$AA$120</f>
        <v>-1091.8768880901723</v>
      </c>
    </row>
    <row r="121" spans="1:33" ht="11.25" customHeight="1" x14ac:dyDescent="0.3">
      <c r="A121" s="4" t="s">
        <v>28</v>
      </c>
      <c r="B121" s="4" t="s">
        <v>22</v>
      </c>
      <c r="C121" s="4" t="s">
        <v>23</v>
      </c>
      <c r="D121" s="4" t="s">
        <v>24</v>
      </c>
      <c r="E121" s="4" t="s">
        <v>24</v>
      </c>
      <c r="F121" s="4" t="s">
        <v>25</v>
      </c>
      <c r="G121" s="4" t="s">
        <v>25</v>
      </c>
      <c r="H121" s="4" t="s">
        <v>25</v>
      </c>
      <c r="I121" s="5">
        <v>44562</v>
      </c>
      <c r="J121" s="6">
        <v>0</v>
      </c>
      <c r="K121" s="6">
        <v>0</v>
      </c>
      <c r="L121" s="6">
        <v>6.1020000000000003</v>
      </c>
      <c r="M121" s="6">
        <v>6.1020000000000003</v>
      </c>
      <c r="N121" s="6">
        <v>6.1020000000000003</v>
      </c>
      <c r="O121" s="6">
        <v>6.1020000000000003</v>
      </c>
      <c r="P121" s="6">
        <v>33</v>
      </c>
      <c r="Q121" s="4" t="s">
        <v>26</v>
      </c>
      <c r="R121" s="4">
        <v>0</v>
      </c>
      <c r="S121" s="6">
        <v>0</v>
      </c>
      <c r="T121" s="6">
        <v>15</v>
      </c>
      <c r="U121" s="6">
        <v>43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609.05999999999995</v>
      </c>
      <c r="X121" s="6">
        <f>IF(ISERROR(VLOOKUP($U$121,'TAR FIN'!$A$1:$O$85,15,0)),0,VLOOKUP($U$121,'TAR FIN'!$A$1:$O$85,15,0))</f>
        <v>119.97</v>
      </c>
      <c r="Y121" s="6"/>
      <c r="Z121" s="6">
        <f ca="1">('TUSD BE'!$AM$20+'TUSD BF'!$AM$20+'TUSD CVA'!$AM$20)*1</f>
        <v>659.71654674120782</v>
      </c>
      <c r="AA121" s="6">
        <f>('TE BE'!$AB$10+'TE BF'!$AB$10+'TE CVA'!$AB$10)*1</f>
        <v>122.58638016056723</v>
      </c>
      <c r="AB121" s="6">
        <f>$K$121*$V$121</f>
        <v>0</v>
      </c>
      <c r="AC121" s="6">
        <f>$M$121*$W$121</f>
        <v>3716.4841200000001</v>
      </c>
      <c r="AD121" s="6">
        <f>$O$121*$X$121</f>
        <v>732.05694000000005</v>
      </c>
      <c r="AE121" s="6">
        <f>$K$121*$Y$121</f>
        <v>0</v>
      </c>
      <c r="AF121" s="6">
        <f ca="1">$M$121*$Z$121</f>
        <v>4025.5903682148505</v>
      </c>
      <c r="AG121" s="6">
        <f>$O$121*$AA$121</f>
        <v>748.02209173978133</v>
      </c>
    </row>
    <row r="122" spans="1:33" ht="11.25" customHeight="1" x14ac:dyDescent="0.3">
      <c r="A122" s="4" t="s">
        <v>21</v>
      </c>
      <c r="B122" s="4" t="s">
        <v>22</v>
      </c>
      <c r="C122" s="4" t="s">
        <v>23</v>
      </c>
      <c r="D122" s="4" t="s">
        <v>24</v>
      </c>
      <c r="E122" s="4" t="s">
        <v>24</v>
      </c>
      <c r="F122" s="4" t="s">
        <v>25</v>
      </c>
      <c r="G122" s="4" t="s">
        <v>25</v>
      </c>
      <c r="H122" s="4" t="s">
        <v>25</v>
      </c>
      <c r="I122" s="5">
        <v>44593</v>
      </c>
      <c r="J122" s="6">
        <v>0</v>
      </c>
      <c r="K122" s="6">
        <v>0</v>
      </c>
      <c r="L122" s="6">
        <v>659.79499999999996</v>
      </c>
      <c r="M122" s="6">
        <v>659.79499999999996</v>
      </c>
      <c r="N122" s="6">
        <v>659.79499999999996</v>
      </c>
      <c r="O122" s="6">
        <v>659.79499999999996</v>
      </c>
      <c r="P122" s="6">
        <v>3107</v>
      </c>
      <c r="Q122" s="4" t="s">
        <v>26</v>
      </c>
      <c r="R122" s="4">
        <v>0</v>
      </c>
      <c r="S122" s="6">
        <v>0</v>
      </c>
      <c r="T122" s="6">
        <v>15</v>
      </c>
      <c r="U122" s="6">
        <v>43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609.05999999999995</v>
      </c>
      <c r="X122" s="6">
        <f>IF(ISERROR(VLOOKUP($U$122,'TAR FIN'!$A$1:$O$85,15,0)),0,VLOOKUP($U$122,'TAR FIN'!$A$1:$O$85,15,0))</f>
        <v>119.97</v>
      </c>
      <c r="Y122" s="6"/>
      <c r="Z122" s="6">
        <f ca="1">('TUSD BE'!$AM$20+'TUSD BF'!$AM$20+'TUSD CVA'!$AM$20)*1</f>
        <v>659.71654674120782</v>
      </c>
      <c r="AA122" s="6">
        <f>('TE BE'!$AB$10+'TE BF'!$AB$10+'TE CVA'!$AB$10)*1</f>
        <v>122.58638016056723</v>
      </c>
      <c r="AB122" s="6">
        <f>$K$122*$V$122</f>
        <v>0</v>
      </c>
      <c r="AC122" s="6">
        <f>$M$122*$W$122</f>
        <v>401854.74269999994</v>
      </c>
      <c r="AD122" s="6">
        <f>$O$122*$X$122</f>
        <v>79155.606149999992</v>
      </c>
      <c r="AE122" s="6">
        <f>$K$122*$Y$122</f>
        <v>0</v>
      </c>
      <c r="AF122" s="6">
        <f ca="1">$M$122*$Z$122</f>
        <v>435277.67895711516</v>
      </c>
      <c r="AG122" s="6">
        <f>$O$122*$AA$122</f>
        <v>80881.880698041452</v>
      </c>
    </row>
    <row r="123" spans="1:33" ht="11.25" customHeight="1" x14ac:dyDescent="0.3">
      <c r="A123" s="4" t="s">
        <v>27</v>
      </c>
      <c r="B123" s="4" t="s">
        <v>22</v>
      </c>
      <c r="C123" s="4" t="s">
        <v>23</v>
      </c>
      <c r="D123" s="4" t="s">
        <v>24</v>
      </c>
      <c r="E123" s="4" t="s">
        <v>24</v>
      </c>
      <c r="F123" s="4" t="s">
        <v>25</v>
      </c>
      <c r="G123" s="4" t="s">
        <v>25</v>
      </c>
      <c r="H123" s="4" t="s">
        <v>25</v>
      </c>
      <c r="I123" s="5">
        <v>44593</v>
      </c>
      <c r="J123" s="6">
        <v>0</v>
      </c>
      <c r="K123" s="6">
        <v>0</v>
      </c>
      <c r="L123" s="6">
        <v>-6.9000000000000006E-2</v>
      </c>
      <c r="M123" s="6">
        <v>-6.9000000000000006E-2</v>
      </c>
      <c r="N123" s="6">
        <v>-6.9000000000000006E-2</v>
      </c>
      <c r="O123" s="6">
        <v>-6.9000000000000006E-2</v>
      </c>
      <c r="P123" s="6">
        <v>0</v>
      </c>
      <c r="Q123" s="4" t="s">
        <v>26</v>
      </c>
      <c r="R123" s="4">
        <v>0</v>
      </c>
      <c r="S123" s="6">
        <v>0</v>
      </c>
      <c r="T123" s="6">
        <v>15</v>
      </c>
      <c r="U123" s="6">
        <v>43</v>
      </c>
      <c r="V123" s="6">
        <f>IF(ISERROR(VLOOKUP($S$123,'TAR FIN'!$A$1:$O$85,15,0)),0,VLOOKUP($S$123,'TAR FIN'!$A$1:$O$85,15,0))</f>
        <v>0</v>
      </c>
      <c r="W123" s="6">
        <f>IF(ISERROR(VLOOKUP($T$123,'TAR FIN'!$A$1:$O$85,15,0)),0,VLOOKUP($T$123,'TAR FIN'!$A$1:$O$85,15,0))</f>
        <v>609.05999999999995</v>
      </c>
      <c r="X123" s="6">
        <f>IF(ISERROR(VLOOKUP($U$123,'TAR FIN'!$A$1:$O$85,15,0)),0,VLOOKUP($U$123,'TAR FIN'!$A$1:$O$85,15,0))</f>
        <v>119.97</v>
      </c>
      <c r="Y123" s="6"/>
      <c r="Z123" s="6">
        <f ca="1">('TUSD BE'!$AM$20+'TUSD BF'!$AM$20+'TUSD CVA'!$AM$20)*1</f>
        <v>659.71654674120782</v>
      </c>
      <c r="AA123" s="6">
        <f>('TE BE'!$AB$10+'TE BF'!$AB$10+'TE CVA'!$AB$10)*1</f>
        <v>122.58638016056723</v>
      </c>
      <c r="AB123" s="6">
        <f>$K$123*$V$123</f>
        <v>0</v>
      </c>
      <c r="AC123" s="6">
        <f>$M$123*$W$123</f>
        <v>-42.02514</v>
      </c>
      <c r="AD123" s="6">
        <f>$O$123*$X$123</f>
        <v>-8.2779300000000013</v>
      </c>
      <c r="AE123" s="6">
        <f>$K$123*$Y$123</f>
        <v>0</v>
      </c>
      <c r="AF123" s="6">
        <f ca="1">$M$123*$Z$123</f>
        <v>-45.520441725143343</v>
      </c>
      <c r="AG123" s="6">
        <f>$O$123*$AA$123</f>
        <v>-8.4584602310791404</v>
      </c>
    </row>
    <row r="124" spans="1:33" ht="11.25" customHeight="1" x14ac:dyDescent="0.3">
      <c r="A124" s="4" t="s">
        <v>28</v>
      </c>
      <c r="B124" s="4" t="s">
        <v>22</v>
      </c>
      <c r="C124" s="4" t="s">
        <v>23</v>
      </c>
      <c r="D124" s="4" t="s">
        <v>24</v>
      </c>
      <c r="E124" s="4" t="s">
        <v>24</v>
      </c>
      <c r="F124" s="4" t="s">
        <v>25</v>
      </c>
      <c r="G124" s="4" t="s">
        <v>25</v>
      </c>
      <c r="H124" s="4" t="s">
        <v>25</v>
      </c>
      <c r="I124" s="5">
        <v>44593</v>
      </c>
      <c r="J124" s="6">
        <v>0</v>
      </c>
      <c r="K124" s="6">
        <v>0</v>
      </c>
      <c r="L124" s="6">
        <v>8.2349999999999994</v>
      </c>
      <c r="M124" s="6">
        <v>8.2349999999999994</v>
      </c>
      <c r="N124" s="6">
        <v>8.2349999999999994</v>
      </c>
      <c r="O124" s="6">
        <v>8.2349999999999994</v>
      </c>
      <c r="P124" s="6">
        <v>38</v>
      </c>
      <c r="Q124" s="4" t="s">
        <v>26</v>
      </c>
      <c r="R124" s="4">
        <v>0</v>
      </c>
      <c r="S124" s="6">
        <v>0</v>
      </c>
      <c r="T124" s="6">
        <v>15</v>
      </c>
      <c r="U124" s="6">
        <v>43</v>
      </c>
      <c r="V124" s="6">
        <f>IF(ISERROR(VLOOKUP($S$124,'TAR FIN'!$A$1:$O$85,15,0)),0,VLOOKUP($S$124,'TAR FIN'!$A$1:$O$85,15,0))</f>
        <v>0</v>
      </c>
      <c r="W124" s="6">
        <f>IF(ISERROR(VLOOKUP($T$124,'TAR FIN'!$A$1:$O$85,15,0)),0,VLOOKUP($T$124,'TAR FIN'!$A$1:$O$85,15,0))</f>
        <v>609.05999999999995</v>
      </c>
      <c r="X124" s="6">
        <f>IF(ISERROR(VLOOKUP($U$124,'TAR FIN'!$A$1:$O$85,15,0)),0,VLOOKUP($U$124,'TAR FIN'!$A$1:$O$85,15,0))</f>
        <v>119.97</v>
      </c>
      <c r="Y124" s="6"/>
      <c r="Z124" s="6">
        <f ca="1">('TUSD BE'!$AM$20+'TUSD BF'!$AM$20+'TUSD CVA'!$AM$20)*1</f>
        <v>659.71654674120782</v>
      </c>
      <c r="AA124" s="6">
        <f>('TE BE'!$AB$10+'TE BF'!$AB$10+'TE CVA'!$AB$10)*1</f>
        <v>122.58638016056723</v>
      </c>
      <c r="AB124" s="6">
        <f>$K$124*$V$124</f>
        <v>0</v>
      </c>
      <c r="AC124" s="6">
        <f>$M$124*$W$124</f>
        <v>5015.6090999999988</v>
      </c>
      <c r="AD124" s="6">
        <f>$O$124*$X$124</f>
        <v>987.95294999999987</v>
      </c>
      <c r="AE124" s="6">
        <f>$K$124*$Y$124</f>
        <v>0</v>
      </c>
      <c r="AF124" s="6">
        <f ca="1">$M$124*$Z$124</f>
        <v>5432.7657624138465</v>
      </c>
      <c r="AG124" s="6">
        <f>$O$124*$AA$124</f>
        <v>1009.4988406222711</v>
      </c>
    </row>
    <row r="125" spans="1:33" ht="11.25" customHeight="1" x14ac:dyDescent="0.3">
      <c r="A125" s="4" t="s">
        <v>21</v>
      </c>
      <c r="B125" s="4" t="s">
        <v>22</v>
      </c>
      <c r="C125" s="4" t="s">
        <v>23</v>
      </c>
      <c r="D125" s="4" t="s">
        <v>24</v>
      </c>
      <c r="E125" s="4" t="s">
        <v>24</v>
      </c>
      <c r="F125" s="4" t="s">
        <v>25</v>
      </c>
      <c r="G125" s="4" t="s">
        <v>25</v>
      </c>
      <c r="H125" s="4" t="s">
        <v>25</v>
      </c>
      <c r="I125" s="5">
        <v>44621</v>
      </c>
      <c r="J125" s="6">
        <v>0</v>
      </c>
      <c r="K125" s="6">
        <v>0</v>
      </c>
      <c r="L125" s="6">
        <v>772.06100000000004</v>
      </c>
      <c r="M125" s="6">
        <v>772.06100000000004</v>
      </c>
      <c r="N125" s="6">
        <v>772.06100000000004</v>
      </c>
      <c r="O125" s="6">
        <v>772.06100000000004</v>
      </c>
      <c r="P125" s="6">
        <v>3120</v>
      </c>
      <c r="Q125" s="4" t="s">
        <v>26</v>
      </c>
      <c r="R125" s="4">
        <v>0</v>
      </c>
      <c r="S125" s="6">
        <v>0</v>
      </c>
      <c r="T125" s="6">
        <v>15</v>
      </c>
      <c r="U125" s="6">
        <v>43</v>
      </c>
      <c r="V125" s="6">
        <f>IF(ISERROR(VLOOKUP($S$125,'TAR FIN'!$A$1:$O$85,15,0)),0,VLOOKUP($S$125,'TAR FIN'!$A$1:$O$85,15,0))</f>
        <v>0</v>
      </c>
      <c r="W125" s="6">
        <f>IF(ISERROR(VLOOKUP($T$125,'TAR FIN'!$A$1:$O$85,15,0)),0,VLOOKUP($T$125,'TAR FIN'!$A$1:$O$85,15,0))</f>
        <v>609.05999999999995</v>
      </c>
      <c r="X125" s="6">
        <f>IF(ISERROR(VLOOKUP($U$125,'TAR FIN'!$A$1:$O$85,15,0)),0,VLOOKUP($U$125,'TAR FIN'!$A$1:$O$85,15,0))</f>
        <v>119.97</v>
      </c>
      <c r="Y125" s="6"/>
      <c r="Z125" s="6">
        <f ca="1">('TUSD BE'!$AM$20+'TUSD BF'!$AM$20+'TUSD CVA'!$AM$20)*1</f>
        <v>659.71654674120782</v>
      </c>
      <c r="AA125" s="6">
        <f>('TE BE'!$AB$10+'TE BF'!$AB$10+'TE CVA'!$AB$10)*1</f>
        <v>122.58638016056723</v>
      </c>
      <c r="AB125" s="6">
        <f>$K$125*$V$125</f>
        <v>0</v>
      </c>
      <c r="AC125" s="6">
        <f>$M$125*$W$125</f>
        <v>470231.47265999997</v>
      </c>
      <c r="AD125" s="6">
        <f>$O$125*$X$125</f>
        <v>92624.15817000001</v>
      </c>
      <c r="AE125" s="6">
        <f>$K$125*$Y$125</f>
        <v>0</v>
      </c>
      <c r="AF125" s="6">
        <f ca="1">$M$125*$Z$125</f>
        <v>509341.41679356369</v>
      </c>
      <c r="AG125" s="6">
        <f>$O$125*$AA$125</f>
        <v>94644.163253147708</v>
      </c>
    </row>
    <row r="126" spans="1:33" ht="11.25" customHeight="1" x14ac:dyDescent="0.3">
      <c r="A126" s="4" t="s">
        <v>27</v>
      </c>
      <c r="B126" s="4" t="s">
        <v>22</v>
      </c>
      <c r="C126" s="4" t="s">
        <v>23</v>
      </c>
      <c r="D126" s="4" t="s">
        <v>24</v>
      </c>
      <c r="E126" s="4" t="s">
        <v>24</v>
      </c>
      <c r="F126" s="4" t="s">
        <v>25</v>
      </c>
      <c r="G126" s="4" t="s">
        <v>25</v>
      </c>
      <c r="H126" s="4" t="s">
        <v>25</v>
      </c>
      <c r="I126" s="5">
        <v>44621</v>
      </c>
      <c r="J126" s="6">
        <v>0</v>
      </c>
      <c r="K126" s="6">
        <v>0</v>
      </c>
      <c r="L126" s="6">
        <v>-190.22</v>
      </c>
      <c r="M126" s="6">
        <v>-190.22</v>
      </c>
      <c r="N126" s="6">
        <v>-190.22</v>
      </c>
      <c r="O126" s="6">
        <v>-190.22</v>
      </c>
      <c r="P126" s="6">
        <v>0</v>
      </c>
      <c r="Q126" s="4" t="s">
        <v>26</v>
      </c>
      <c r="R126" s="4">
        <v>0</v>
      </c>
      <c r="S126" s="6">
        <v>0</v>
      </c>
      <c r="T126" s="6">
        <v>15</v>
      </c>
      <c r="U126" s="6">
        <v>43</v>
      </c>
      <c r="V126" s="6">
        <f>IF(ISERROR(VLOOKUP($S$126,'TAR FIN'!$A$1:$O$85,15,0)),0,VLOOKUP($S$126,'TAR FIN'!$A$1:$O$85,15,0))</f>
        <v>0</v>
      </c>
      <c r="W126" s="6">
        <f>IF(ISERROR(VLOOKUP($T$126,'TAR FIN'!$A$1:$O$85,15,0)),0,VLOOKUP($T$126,'TAR FIN'!$A$1:$O$85,15,0))</f>
        <v>609.05999999999995</v>
      </c>
      <c r="X126" s="6">
        <f>IF(ISERROR(VLOOKUP($U$126,'TAR FIN'!$A$1:$O$85,15,0)),0,VLOOKUP($U$126,'TAR FIN'!$A$1:$O$85,15,0))</f>
        <v>119.97</v>
      </c>
      <c r="Y126" s="6"/>
      <c r="Z126" s="6">
        <f ca="1">('TUSD BE'!$AM$20+'TUSD BF'!$AM$20+'TUSD CVA'!$AM$20)*1</f>
        <v>659.71654674120782</v>
      </c>
      <c r="AA126" s="6">
        <f>('TE BE'!$AB$10+'TE BF'!$AB$10+'TE CVA'!$AB$10)*1</f>
        <v>122.58638016056723</v>
      </c>
      <c r="AB126" s="6">
        <f>$K$126*$V$126</f>
        <v>0</v>
      </c>
      <c r="AC126" s="6">
        <f>$M$126*$W$126</f>
        <v>-115855.39319999999</v>
      </c>
      <c r="AD126" s="6">
        <f>$O$126*$X$126</f>
        <v>-22820.6934</v>
      </c>
      <c r="AE126" s="6">
        <f>$K$126*$Y$126</f>
        <v>0</v>
      </c>
      <c r="AF126" s="6">
        <f ca="1">$M$126*$Z$126</f>
        <v>-125491.28152111256</v>
      </c>
      <c r="AG126" s="6">
        <f>$O$126*$AA$126</f>
        <v>-23318.3812341431</v>
      </c>
    </row>
    <row r="127" spans="1:33" ht="11.25" customHeight="1" x14ac:dyDescent="0.3">
      <c r="A127" s="4" t="s">
        <v>28</v>
      </c>
      <c r="B127" s="4" t="s">
        <v>22</v>
      </c>
      <c r="C127" s="4" t="s">
        <v>23</v>
      </c>
      <c r="D127" s="4" t="s">
        <v>24</v>
      </c>
      <c r="E127" s="4" t="s">
        <v>24</v>
      </c>
      <c r="F127" s="4" t="s">
        <v>25</v>
      </c>
      <c r="G127" s="4" t="s">
        <v>25</v>
      </c>
      <c r="H127" s="4" t="s">
        <v>25</v>
      </c>
      <c r="I127" s="5">
        <v>44621</v>
      </c>
      <c r="J127" s="6">
        <v>0</v>
      </c>
      <c r="K127" s="6">
        <v>0</v>
      </c>
      <c r="L127" s="6">
        <v>10.331</v>
      </c>
      <c r="M127" s="6">
        <v>10.331</v>
      </c>
      <c r="N127" s="6">
        <v>10.331</v>
      </c>
      <c r="O127" s="6">
        <v>10.331</v>
      </c>
      <c r="P127" s="6">
        <v>42</v>
      </c>
      <c r="Q127" s="4" t="s">
        <v>26</v>
      </c>
      <c r="R127" s="4">
        <v>0</v>
      </c>
      <c r="S127" s="6">
        <v>0</v>
      </c>
      <c r="T127" s="6">
        <v>15</v>
      </c>
      <c r="U127" s="6">
        <v>43</v>
      </c>
      <c r="V127" s="6">
        <f>IF(ISERROR(VLOOKUP($S$127,'TAR FIN'!$A$1:$O$85,15,0)),0,VLOOKUP($S$127,'TAR FIN'!$A$1:$O$85,15,0))</f>
        <v>0</v>
      </c>
      <c r="W127" s="6">
        <f>IF(ISERROR(VLOOKUP($T$127,'TAR FIN'!$A$1:$O$85,15,0)),0,VLOOKUP($T$127,'TAR FIN'!$A$1:$O$85,15,0))</f>
        <v>609.05999999999995</v>
      </c>
      <c r="X127" s="6">
        <f>IF(ISERROR(VLOOKUP($U$127,'TAR FIN'!$A$1:$O$85,15,0)),0,VLOOKUP($U$127,'TAR FIN'!$A$1:$O$85,15,0))</f>
        <v>119.97</v>
      </c>
      <c r="Y127" s="6"/>
      <c r="Z127" s="6">
        <f ca="1">('TUSD BE'!$AM$20+'TUSD BF'!$AM$20+'TUSD CVA'!$AM$20)*1</f>
        <v>659.71654674120782</v>
      </c>
      <c r="AA127" s="6">
        <f>('TE BE'!$AB$10+'TE BF'!$AB$10+'TE CVA'!$AB$10)*1</f>
        <v>122.58638016056723</v>
      </c>
      <c r="AB127" s="6">
        <f>$K$127*$V$127</f>
        <v>0</v>
      </c>
      <c r="AC127" s="6">
        <f>$M$127*$W$127</f>
        <v>6292.1988599999995</v>
      </c>
      <c r="AD127" s="6">
        <f>$O$127*$X$127</f>
        <v>1239.4100699999999</v>
      </c>
      <c r="AE127" s="6">
        <f>$K$127*$Y$127</f>
        <v>0</v>
      </c>
      <c r="AF127" s="6">
        <f ca="1">$M$127*$Z$127</f>
        <v>6815.5316443834181</v>
      </c>
      <c r="AG127" s="6">
        <f>$O$127*$AA$127</f>
        <v>1266.43989343882</v>
      </c>
    </row>
    <row r="128" spans="1:33" ht="11.25" customHeight="1" x14ac:dyDescent="0.3">
      <c r="A128" s="4" t="s">
        <v>21</v>
      </c>
      <c r="B128" s="4" t="s">
        <v>22</v>
      </c>
      <c r="C128" s="4" t="s">
        <v>23</v>
      </c>
      <c r="D128" s="4" t="s">
        <v>24</v>
      </c>
      <c r="E128" s="4" t="s">
        <v>24</v>
      </c>
      <c r="F128" s="4" t="s">
        <v>25</v>
      </c>
      <c r="G128" s="4" t="s">
        <v>25</v>
      </c>
      <c r="H128" s="4" t="s">
        <v>25</v>
      </c>
      <c r="I128" s="5">
        <v>44652</v>
      </c>
      <c r="J128" s="6">
        <v>0</v>
      </c>
      <c r="K128" s="6">
        <v>0</v>
      </c>
      <c r="L128" s="6">
        <v>526.52200000000005</v>
      </c>
      <c r="M128" s="6">
        <v>526.52200000000005</v>
      </c>
      <c r="N128" s="6">
        <v>526.52200000000005</v>
      </c>
      <c r="O128" s="6">
        <v>526.52200000000005</v>
      </c>
      <c r="P128" s="6">
        <v>3111</v>
      </c>
      <c r="Q128" s="4" t="s">
        <v>26</v>
      </c>
      <c r="R128" s="4">
        <v>0</v>
      </c>
      <c r="S128" s="6">
        <v>0</v>
      </c>
      <c r="T128" s="6">
        <v>15</v>
      </c>
      <c r="U128" s="6">
        <v>43</v>
      </c>
      <c r="V128" s="6">
        <f>IF(ISERROR(VLOOKUP($S$128,'TAR FIN'!$A$1:$O$85,15,0)),0,VLOOKUP($S$128,'TAR FIN'!$A$1:$O$85,15,0))</f>
        <v>0</v>
      </c>
      <c r="W128" s="6">
        <f>IF(ISERROR(VLOOKUP($T$128,'TAR FIN'!$A$1:$O$85,15,0)),0,VLOOKUP($T$128,'TAR FIN'!$A$1:$O$85,15,0))</f>
        <v>609.05999999999995</v>
      </c>
      <c r="X128" s="6">
        <f>IF(ISERROR(VLOOKUP($U$128,'TAR FIN'!$A$1:$O$85,15,0)),0,VLOOKUP($U$128,'TAR FIN'!$A$1:$O$85,15,0))</f>
        <v>119.97</v>
      </c>
      <c r="Y128" s="6"/>
      <c r="Z128" s="6">
        <f ca="1">('TUSD BE'!$AM$20+'TUSD BF'!$AM$20+'TUSD CVA'!$AM$20)*1</f>
        <v>659.71654674120782</v>
      </c>
      <c r="AA128" s="6">
        <f>('TE BE'!$AB$10+'TE BF'!$AB$10+'TE CVA'!$AB$10)*1</f>
        <v>122.58638016056723</v>
      </c>
      <c r="AB128" s="6">
        <f>$K$128*$V$128</f>
        <v>0</v>
      </c>
      <c r="AC128" s="6">
        <f>$M$128*$W$128</f>
        <v>320683.48931999999</v>
      </c>
      <c r="AD128" s="6">
        <f>$O$128*$X$128</f>
        <v>63166.844340000003</v>
      </c>
      <c r="AE128" s="6">
        <f>$K$128*$Y$128</f>
        <v>0</v>
      </c>
      <c r="AF128" s="6">
        <f ca="1">$M$128*$Z$128</f>
        <v>347355.27562327427</v>
      </c>
      <c r="AG128" s="6">
        <f>$O$128*$AA$128</f>
        <v>64544.426054902186</v>
      </c>
    </row>
    <row r="129" spans="1:33" ht="11.25" customHeight="1" x14ac:dyDescent="0.3">
      <c r="A129" s="4" t="s">
        <v>27</v>
      </c>
      <c r="B129" s="4" t="s">
        <v>22</v>
      </c>
      <c r="C129" s="4" t="s">
        <v>23</v>
      </c>
      <c r="D129" s="4" t="s">
        <v>24</v>
      </c>
      <c r="E129" s="4" t="s">
        <v>24</v>
      </c>
      <c r="F129" s="4" t="s">
        <v>25</v>
      </c>
      <c r="G129" s="4" t="s">
        <v>25</v>
      </c>
      <c r="H129" s="4" t="s">
        <v>25</v>
      </c>
      <c r="I129" s="5">
        <v>44652</v>
      </c>
      <c r="J129" s="6">
        <v>0</v>
      </c>
      <c r="K129" s="6">
        <v>0</v>
      </c>
      <c r="L129" s="6">
        <v>-10.42</v>
      </c>
      <c r="M129" s="6">
        <v>-10.42</v>
      </c>
      <c r="N129" s="6">
        <v>-10.42</v>
      </c>
      <c r="O129" s="6">
        <v>-10.42</v>
      </c>
      <c r="P129" s="6">
        <v>0</v>
      </c>
      <c r="Q129" s="4" t="s">
        <v>26</v>
      </c>
      <c r="R129" s="4">
        <v>0</v>
      </c>
      <c r="S129" s="6">
        <v>0</v>
      </c>
      <c r="T129" s="6">
        <v>15</v>
      </c>
      <c r="U129" s="6">
        <v>43</v>
      </c>
      <c r="V129" s="6">
        <f>IF(ISERROR(VLOOKUP($S$129,'TAR FIN'!$A$1:$O$85,15,0)),0,VLOOKUP($S$129,'TAR FIN'!$A$1:$O$85,15,0))</f>
        <v>0</v>
      </c>
      <c r="W129" s="6">
        <f>IF(ISERROR(VLOOKUP($T$129,'TAR FIN'!$A$1:$O$85,15,0)),0,VLOOKUP($T$129,'TAR FIN'!$A$1:$O$85,15,0))</f>
        <v>609.05999999999995</v>
      </c>
      <c r="X129" s="6">
        <f>IF(ISERROR(VLOOKUP($U$129,'TAR FIN'!$A$1:$O$85,15,0)),0,VLOOKUP($U$129,'TAR FIN'!$A$1:$O$85,15,0))</f>
        <v>119.97</v>
      </c>
      <c r="Y129" s="6"/>
      <c r="Z129" s="6">
        <f ca="1">('TUSD BE'!$AM$20+'TUSD BF'!$AM$20+'TUSD CVA'!$AM$20)*1</f>
        <v>659.71654674120782</v>
      </c>
      <c r="AA129" s="6">
        <f>('TE BE'!$AB$10+'TE BF'!$AB$10+'TE CVA'!$AB$10)*1</f>
        <v>122.58638016056723</v>
      </c>
      <c r="AB129" s="6">
        <f>$K$129*$V$129</f>
        <v>0</v>
      </c>
      <c r="AC129" s="6">
        <f>$M$129*$W$129</f>
        <v>-6346.4051999999992</v>
      </c>
      <c r="AD129" s="6">
        <f>$O$129*$X$129</f>
        <v>-1250.0873999999999</v>
      </c>
      <c r="AE129" s="6">
        <f>$K$129*$Y$129</f>
        <v>0</v>
      </c>
      <c r="AF129" s="6">
        <f ca="1">$M$129*$Z$129</f>
        <v>-6874.246417043385</v>
      </c>
      <c r="AG129" s="6">
        <f>$O$129*$AA$129</f>
        <v>-1277.3500812731106</v>
      </c>
    </row>
    <row r="130" spans="1:33" ht="11.25" customHeight="1" x14ac:dyDescent="0.3">
      <c r="A130" s="4" t="s">
        <v>28</v>
      </c>
      <c r="B130" s="4" t="s">
        <v>22</v>
      </c>
      <c r="C130" s="4" t="s">
        <v>23</v>
      </c>
      <c r="D130" s="4" t="s">
        <v>24</v>
      </c>
      <c r="E130" s="4" t="s">
        <v>24</v>
      </c>
      <c r="F130" s="4" t="s">
        <v>25</v>
      </c>
      <c r="G130" s="4" t="s">
        <v>25</v>
      </c>
      <c r="H130" s="4" t="s">
        <v>25</v>
      </c>
      <c r="I130" s="5">
        <v>44652</v>
      </c>
      <c r="J130" s="6">
        <v>0</v>
      </c>
      <c r="K130" s="6">
        <v>0</v>
      </c>
      <c r="L130" s="6">
        <v>6.2670000000000003</v>
      </c>
      <c r="M130" s="6">
        <v>6.2670000000000003</v>
      </c>
      <c r="N130" s="6">
        <v>6.2670000000000003</v>
      </c>
      <c r="O130" s="6">
        <v>6.2670000000000003</v>
      </c>
      <c r="P130" s="6">
        <v>45</v>
      </c>
      <c r="Q130" s="4" t="s">
        <v>26</v>
      </c>
      <c r="R130" s="4">
        <v>0</v>
      </c>
      <c r="S130" s="6">
        <v>0</v>
      </c>
      <c r="T130" s="6">
        <v>15</v>
      </c>
      <c r="U130" s="6">
        <v>43</v>
      </c>
      <c r="V130" s="6">
        <f>IF(ISERROR(VLOOKUP($S$130,'TAR FIN'!$A$1:$O$85,15,0)),0,VLOOKUP($S$130,'TAR FIN'!$A$1:$O$85,15,0))</f>
        <v>0</v>
      </c>
      <c r="W130" s="6">
        <f>IF(ISERROR(VLOOKUP($T$130,'TAR FIN'!$A$1:$O$85,15,0)),0,VLOOKUP($T$130,'TAR FIN'!$A$1:$O$85,15,0))</f>
        <v>609.05999999999995</v>
      </c>
      <c r="X130" s="6">
        <f>IF(ISERROR(VLOOKUP($U$130,'TAR FIN'!$A$1:$O$85,15,0)),0,VLOOKUP($U$130,'TAR FIN'!$A$1:$O$85,15,0))</f>
        <v>119.97</v>
      </c>
      <c r="Y130" s="6"/>
      <c r="Z130" s="6">
        <f ca="1">('TUSD BE'!$AM$20+'TUSD BF'!$AM$20+'TUSD CVA'!$AM$20)*1</f>
        <v>659.71654674120782</v>
      </c>
      <c r="AA130" s="6">
        <f>('TE BE'!$AB$10+'TE BF'!$AB$10+'TE CVA'!$AB$10)*1</f>
        <v>122.58638016056723</v>
      </c>
      <c r="AB130" s="6">
        <f>$K$130*$V$130</f>
        <v>0</v>
      </c>
      <c r="AC130" s="6">
        <f>$M$130*$W$130</f>
        <v>3816.9790199999998</v>
      </c>
      <c r="AD130" s="6">
        <f>$O$130*$X$130</f>
        <v>751.85199</v>
      </c>
      <c r="AE130" s="6">
        <f>$K$130*$Y$130</f>
        <v>0</v>
      </c>
      <c r="AF130" s="6">
        <f ca="1">$M$130*$Z$130</f>
        <v>4134.4435984271495</v>
      </c>
      <c r="AG130" s="6">
        <f>$O$130*$AA$130</f>
        <v>768.24884446627493</v>
      </c>
    </row>
    <row r="131" spans="1:33" ht="11.25" customHeight="1" x14ac:dyDescent="0.3">
      <c r="A131" s="4" t="s">
        <v>21</v>
      </c>
      <c r="B131" s="4" t="s">
        <v>22</v>
      </c>
      <c r="C131" s="4" t="s">
        <v>23</v>
      </c>
      <c r="D131" s="4" t="s">
        <v>24</v>
      </c>
      <c r="E131" s="4" t="s">
        <v>24</v>
      </c>
      <c r="F131" s="4" t="s">
        <v>25</v>
      </c>
      <c r="G131" s="4" t="s">
        <v>25</v>
      </c>
      <c r="H131" s="4" t="s">
        <v>25</v>
      </c>
      <c r="I131" s="5">
        <v>44682</v>
      </c>
      <c r="J131" s="6">
        <v>0</v>
      </c>
      <c r="K131" s="6">
        <v>0</v>
      </c>
      <c r="L131" s="6">
        <v>480.74400000000003</v>
      </c>
      <c r="M131" s="6">
        <v>480.74400000000003</v>
      </c>
      <c r="N131" s="6">
        <v>480.74400000000003</v>
      </c>
      <c r="O131" s="6">
        <v>480.74400000000003</v>
      </c>
      <c r="P131" s="6">
        <v>3096</v>
      </c>
      <c r="Q131" s="4" t="s">
        <v>26</v>
      </c>
      <c r="R131" s="4">
        <v>0</v>
      </c>
      <c r="S131" s="6">
        <v>0</v>
      </c>
      <c r="T131" s="6">
        <v>15</v>
      </c>
      <c r="U131" s="6">
        <v>43</v>
      </c>
      <c r="V131" s="6">
        <f>IF(ISERROR(VLOOKUP($S$131,'TAR FIN'!$A$1:$O$85,15,0)),0,VLOOKUP($S$131,'TAR FIN'!$A$1:$O$85,15,0))</f>
        <v>0</v>
      </c>
      <c r="W131" s="6">
        <f>IF(ISERROR(VLOOKUP($T$131,'TAR FIN'!$A$1:$O$85,15,0)),0,VLOOKUP($T$131,'TAR FIN'!$A$1:$O$85,15,0))</f>
        <v>609.05999999999995</v>
      </c>
      <c r="X131" s="6">
        <f>IF(ISERROR(VLOOKUP($U$131,'TAR FIN'!$A$1:$O$85,15,0)),0,VLOOKUP($U$131,'TAR FIN'!$A$1:$O$85,15,0))</f>
        <v>119.97</v>
      </c>
      <c r="Y131" s="6"/>
      <c r="Z131" s="6">
        <f ca="1">('TUSD BE'!$AM$20+'TUSD BF'!$AM$20+'TUSD CVA'!$AM$20)*1</f>
        <v>659.71654674120782</v>
      </c>
      <c r="AA131" s="6">
        <f>('TE BE'!$AB$10+'TE BF'!$AB$10+'TE CVA'!$AB$10)*1</f>
        <v>122.58638016056723</v>
      </c>
      <c r="AB131" s="6">
        <f>$K$131*$V$131</f>
        <v>0</v>
      </c>
      <c r="AC131" s="6">
        <f>$M$131*$W$131</f>
        <v>292801.94063999999</v>
      </c>
      <c r="AD131" s="6">
        <f>$O$131*$X$131</f>
        <v>57674.857680000001</v>
      </c>
      <c r="AE131" s="6">
        <f>$K$131*$Y$131</f>
        <v>0</v>
      </c>
      <c r="AF131" s="6">
        <f ca="1">$M$131*$Z$131</f>
        <v>317154.77154655522</v>
      </c>
      <c r="AG131" s="6">
        <f>$O$131*$AA$131</f>
        <v>58932.666743911737</v>
      </c>
    </row>
    <row r="132" spans="1:33" ht="11.25" customHeight="1" x14ac:dyDescent="0.3">
      <c r="A132" s="4" t="s">
        <v>28</v>
      </c>
      <c r="B132" s="4" t="s">
        <v>22</v>
      </c>
      <c r="C132" s="4" t="s">
        <v>23</v>
      </c>
      <c r="D132" s="4" t="s">
        <v>24</v>
      </c>
      <c r="E132" s="4" t="s">
        <v>24</v>
      </c>
      <c r="F132" s="4" t="s">
        <v>25</v>
      </c>
      <c r="G132" s="4" t="s">
        <v>25</v>
      </c>
      <c r="H132" s="4" t="s">
        <v>25</v>
      </c>
      <c r="I132" s="5">
        <v>44682</v>
      </c>
      <c r="J132" s="6">
        <v>0</v>
      </c>
      <c r="K132" s="6">
        <v>0</v>
      </c>
      <c r="L132" s="6">
        <v>7.4240000000000004</v>
      </c>
      <c r="M132" s="6">
        <v>7.4240000000000004</v>
      </c>
      <c r="N132" s="6">
        <v>7.4240000000000004</v>
      </c>
      <c r="O132" s="6">
        <v>7.4240000000000004</v>
      </c>
      <c r="P132" s="6">
        <v>48</v>
      </c>
      <c r="Q132" s="4" t="s">
        <v>26</v>
      </c>
      <c r="R132" s="4">
        <v>0</v>
      </c>
      <c r="S132" s="6">
        <v>0</v>
      </c>
      <c r="T132" s="6">
        <v>15</v>
      </c>
      <c r="U132" s="6">
        <v>43</v>
      </c>
      <c r="V132" s="6">
        <f>IF(ISERROR(VLOOKUP($S$132,'TAR FIN'!$A$1:$O$85,15,0)),0,VLOOKUP($S$132,'TAR FIN'!$A$1:$O$85,15,0))</f>
        <v>0</v>
      </c>
      <c r="W132" s="6">
        <f>IF(ISERROR(VLOOKUP($T$132,'TAR FIN'!$A$1:$O$85,15,0)),0,VLOOKUP($T$132,'TAR FIN'!$A$1:$O$85,15,0))</f>
        <v>609.05999999999995</v>
      </c>
      <c r="X132" s="6">
        <f>IF(ISERROR(VLOOKUP($U$132,'TAR FIN'!$A$1:$O$85,15,0)),0,VLOOKUP($U$132,'TAR FIN'!$A$1:$O$85,15,0))</f>
        <v>119.97</v>
      </c>
      <c r="Y132" s="6"/>
      <c r="Z132" s="6">
        <f ca="1">('TUSD BE'!$AM$20+'TUSD BF'!$AM$20+'TUSD CVA'!$AM$20)*1</f>
        <v>659.71654674120782</v>
      </c>
      <c r="AA132" s="6">
        <f>('TE BE'!$AB$10+'TE BF'!$AB$10+'TE CVA'!$AB$10)*1</f>
        <v>122.58638016056723</v>
      </c>
      <c r="AB132" s="6">
        <f>$K$132*$V$132</f>
        <v>0</v>
      </c>
      <c r="AC132" s="6">
        <f>$M$132*$W$132</f>
        <v>4521.6614399999999</v>
      </c>
      <c r="AD132" s="6">
        <f>$O$132*$X$132</f>
        <v>890.65728000000001</v>
      </c>
      <c r="AE132" s="6">
        <f>$K$132*$Y$132</f>
        <v>0</v>
      </c>
      <c r="AF132" s="6">
        <f ca="1">$M$132*$Z$132</f>
        <v>4897.7356430067275</v>
      </c>
      <c r="AG132" s="6">
        <f>$O$132*$AA$132</f>
        <v>910.08128631205113</v>
      </c>
    </row>
    <row r="133" spans="1:33" ht="11.25" customHeight="1" x14ac:dyDescent="0.3">
      <c r="A133" s="4" t="s">
        <v>21</v>
      </c>
      <c r="B133" s="4" t="s">
        <v>22</v>
      </c>
      <c r="C133" s="4" t="s">
        <v>23</v>
      </c>
      <c r="D133" s="4" t="s">
        <v>24</v>
      </c>
      <c r="E133" s="4" t="s">
        <v>24</v>
      </c>
      <c r="F133" s="4" t="s">
        <v>25</v>
      </c>
      <c r="G133" s="4" t="s">
        <v>25</v>
      </c>
      <c r="H133" s="4" t="s">
        <v>25</v>
      </c>
      <c r="I133" s="5">
        <v>44713</v>
      </c>
      <c r="J133" s="6">
        <v>0</v>
      </c>
      <c r="K133" s="6">
        <v>0</v>
      </c>
      <c r="L133" s="6">
        <v>660.55600000000004</v>
      </c>
      <c r="M133" s="6">
        <v>660.55600000000004</v>
      </c>
      <c r="N133" s="6">
        <v>660.55600000000004</v>
      </c>
      <c r="O133" s="6">
        <v>660.55600000000004</v>
      </c>
      <c r="P133" s="6">
        <v>3096</v>
      </c>
      <c r="Q133" s="4" t="s">
        <v>26</v>
      </c>
      <c r="R133" s="4">
        <v>0</v>
      </c>
      <c r="S133" s="6">
        <v>0</v>
      </c>
      <c r="T133" s="6">
        <v>15</v>
      </c>
      <c r="U133" s="6">
        <v>43</v>
      </c>
      <c r="V133" s="6">
        <f>IF(ISERROR(VLOOKUP($S$133,'TAR FIN'!$A$1:$O$85,15,0)),0,VLOOKUP($S$133,'TAR FIN'!$A$1:$O$85,15,0))</f>
        <v>0</v>
      </c>
      <c r="W133" s="6">
        <f>IF(ISERROR(VLOOKUP($T$133,'TAR FIN'!$A$1:$O$85,15,0)),0,VLOOKUP($T$133,'TAR FIN'!$A$1:$O$85,15,0))</f>
        <v>609.05999999999995</v>
      </c>
      <c r="X133" s="6">
        <f>IF(ISERROR(VLOOKUP($U$133,'TAR FIN'!$A$1:$O$85,15,0)),0,VLOOKUP($U$133,'TAR FIN'!$A$1:$O$85,15,0))</f>
        <v>119.97</v>
      </c>
      <c r="Y133" s="6"/>
      <c r="Z133" s="6">
        <f ca="1">('TUSD BE'!$AM$20+'TUSD BF'!$AM$20+'TUSD CVA'!$AM$20)*1</f>
        <v>659.71654674120782</v>
      </c>
      <c r="AA133" s="6">
        <f>('TE BE'!$AB$10+'TE BF'!$AB$10+'TE CVA'!$AB$10)*1</f>
        <v>122.58638016056723</v>
      </c>
      <c r="AB133" s="6">
        <f>$K$133*$V$133</f>
        <v>0</v>
      </c>
      <c r="AC133" s="6">
        <f>$M$133*$W$133</f>
        <v>402318.23735999997</v>
      </c>
      <c r="AD133" s="6">
        <f>$O$133*$X$133</f>
        <v>79246.903319999998</v>
      </c>
      <c r="AE133" s="6">
        <f>$K$133*$Y$133</f>
        <v>0</v>
      </c>
      <c r="AF133" s="6">
        <f ca="1">$M$133*$Z$133</f>
        <v>435779.72324918531</v>
      </c>
      <c r="AG133" s="6">
        <f>$O$133*$AA$133</f>
        <v>80975.168933343652</v>
      </c>
    </row>
    <row r="134" spans="1:33" ht="11.25" customHeight="1" x14ac:dyDescent="0.3">
      <c r="A134" s="4" t="s">
        <v>27</v>
      </c>
      <c r="B134" s="4" t="s">
        <v>22</v>
      </c>
      <c r="C134" s="4" t="s">
        <v>23</v>
      </c>
      <c r="D134" s="4" t="s">
        <v>24</v>
      </c>
      <c r="E134" s="4" t="s">
        <v>24</v>
      </c>
      <c r="F134" s="4" t="s">
        <v>25</v>
      </c>
      <c r="G134" s="4" t="s">
        <v>25</v>
      </c>
      <c r="H134" s="4" t="s">
        <v>25</v>
      </c>
      <c r="I134" s="5">
        <v>44713</v>
      </c>
      <c r="J134" s="6">
        <v>0</v>
      </c>
      <c r="K134" s="6">
        <v>0</v>
      </c>
      <c r="L134" s="6">
        <v>-100.9</v>
      </c>
      <c r="M134" s="6">
        <v>-100.9</v>
      </c>
      <c r="N134" s="6">
        <v>-100.9</v>
      </c>
      <c r="O134" s="6">
        <v>-100.9</v>
      </c>
      <c r="P134" s="6">
        <v>0</v>
      </c>
      <c r="Q134" s="4" t="s">
        <v>26</v>
      </c>
      <c r="R134" s="4">
        <v>0</v>
      </c>
      <c r="S134" s="6">
        <v>0</v>
      </c>
      <c r="T134" s="6">
        <v>15</v>
      </c>
      <c r="U134" s="6">
        <v>43</v>
      </c>
      <c r="V134" s="6">
        <f>IF(ISERROR(VLOOKUP($S$134,'TAR FIN'!$A$1:$O$85,15,0)),0,VLOOKUP($S$134,'TAR FIN'!$A$1:$O$85,15,0))</f>
        <v>0</v>
      </c>
      <c r="W134" s="6">
        <f>IF(ISERROR(VLOOKUP($T$134,'TAR FIN'!$A$1:$O$85,15,0)),0,VLOOKUP($T$134,'TAR FIN'!$A$1:$O$85,15,0))</f>
        <v>609.05999999999995</v>
      </c>
      <c r="X134" s="6">
        <f>IF(ISERROR(VLOOKUP($U$134,'TAR FIN'!$A$1:$O$85,15,0)),0,VLOOKUP($U$134,'TAR FIN'!$A$1:$O$85,15,0))</f>
        <v>119.97</v>
      </c>
      <c r="Y134" s="6"/>
      <c r="Z134" s="6">
        <f ca="1">('TUSD BE'!$AM$20+'TUSD BF'!$AM$20+'TUSD CVA'!$AM$20)*1</f>
        <v>659.71654674120782</v>
      </c>
      <c r="AA134" s="6">
        <f>('TE BE'!$AB$10+'TE BF'!$AB$10+'TE CVA'!$AB$10)*1</f>
        <v>122.58638016056723</v>
      </c>
      <c r="AB134" s="6">
        <f>$K$134*$V$134</f>
        <v>0</v>
      </c>
      <c r="AC134" s="6">
        <f>$M$134*$W$134</f>
        <v>-61454.153999999995</v>
      </c>
      <c r="AD134" s="6">
        <f>$O$134*$X$134</f>
        <v>-12104.973</v>
      </c>
      <c r="AE134" s="6">
        <f>$K$134*$Y$134</f>
        <v>0</v>
      </c>
      <c r="AF134" s="6">
        <f ca="1">$M$134*$Z$134</f>
        <v>-66565.399566187873</v>
      </c>
      <c r="AG134" s="6">
        <f>$O$134*$AA$134</f>
        <v>-12368.965758201235</v>
      </c>
    </row>
    <row r="135" spans="1:33" ht="11.25" customHeight="1" x14ac:dyDescent="0.3">
      <c r="A135" s="4" t="s">
        <v>28</v>
      </c>
      <c r="B135" s="4" t="s">
        <v>22</v>
      </c>
      <c r="C135" s="4" t="s">
        <v>23</v>
      </c>
      <c r="D135" s="4" t="s">
        <v>24</v>
      </c>
      <c r="E135" s="4" t="s">
        <v>24</v>
      </c>
      <c r="F135" s="4" t="s">
        <v>25</v>
      </c>
      <c r="G135" s="4" t="s">
        <v>25</v>
      </c>
      <c r="H135" s="4" t="s">
        <v>25</v>
      </c>
      <c r="I135" s="5">
        <v>44713</v>
      </c>
      <c r="J135" s="6">
        <v>0</v>
      </c>
      <c r="K135" s="6">
        <v>0</v>
      </c>
      <c r="L135" s="6">
        <v>14.672000000000001</v>
      </c>
      <c r="M135" s="6">
        <v>14.672000000000001</v>
      </c>
      <c r="N135" s="6">
        <v>14.672000000000001</v>
      </c>
      <c r="O135" s="6">
        <v>14.672000000000001</v>
      </c>
      <c r="P135" s="6">
        <v>54</v>
      </c>
      <c r="Q135" s="4" t="s">
        <v>26</v>
      </c>
      <c r="R135" s="4">
        <v>0</v>
      </c>
      <c r="S135" s="6">
        <v>0</v>
      </c>
      <c r="T135" s="6">
        <v>15</v>
      </c>
      <c r="U135" s="6">
        <v>43</v>
      </c>
      <c r="V135" s="6">
        <f>IF(ISERROR(VLOOKUP($S$135,'TAR FIN'!$A$1:$O$85,15,0)),0,VLOOKUP($S$135,'TAR FIN'!$A$1:$O$85,15,0))</f>
        <v>0</v>
      </c>
      <c r="W135" s="6">
        <f>IF(ISERROR(VLOOKUP($T$135,'TAR FIN'!$A$1:$O$85,15,0)),0,VLOOKUP($T$135,'TAR FIN'!$A$1:$O$85,15,0))</f>
        <v>609.05999999999995</v>
      </c>
      <c r="X135" s="6">
        <f>IF(ISERROR(VLOOKUP($U$135,'TAR FIN'!$A$1:$O$85,15,0)),0,VLOOKUP($U$135,'TAR FIN'!$A$1:$O$85,15,0))</f>
        <v>119.97</v>
      </c>
      <c r="Y135" s="6"/>
      <c r="Z135" s="6">
        <f ca="1">('TUSD BE'!$AM$20+'TUSD BF'!$AM$20+'TUSD CVA'!$AM$20)*1</f>
        <v>659.71654674120782</v>
      </c>
      <c r="AA135" s="6">
        <f>('TE BE'!$AB$10+'TE BF'!$AB$10+'TE CVA'!$AB$10)*1</f>
        <v>122.58638016056723</v>
      </c>
      <c r="AB135" s="6">
        <f>$K$135*$V$135</f>
        <v>0</v>
      </c>
      <c r="AC135" s="6">
        <f>$M$135*$W$135</f>
        <v>8936.1283199999998</v>
      </c>
      <c r="AD135" s="6">
        <f>$O$135*$X$135</f>
        <v>1760.19984</v>
      </c>
      <c r="AE135" s="6">
        <f>$K$135*$Y$135</f>
        <v>0</v>
      </c>
      <c r="AF135" s="6">
        <f ca="1">$M$135*$Z$135</f>
        <v>9679.3611737870015</v>
      </c>
      <c r="AG135" s="6">
        <f>$O$135*$AA$135</f>
        <v>1798.5873697158424</v>
      </c>
    </row>
    <row r="136" spans="1:33" ht="11.25" customHeight="1" x14ac:dyDescent="0.3">
      <c r="A136" s="4" t="s">
        <v>21</v>
      </c>
      <c r="B136" s="4" t="s">
        <v>22</v>
      </c>
      <c r="C136" s="4" t="s">
        <v>23</v>
      </c>
      <c r="D136" s="4" t="s">
        <v>24</v>
      </c>
      <c r="E136" s="4" t="s">
        <v>24</v>
      </c>
      <c r="F136" s="4" t="s">
        <v>25</v>
      </c>
      <c r="G136" s="4" t="s">
        <v>25</v>
      </c>
      <c r="H136" s="4" t="s">
        <v>25</v>
      </c>
      <c r="I136" s="5">
        <v>44743</v>
      </c>
      <c r="J136" s="6">
        <v>0</v>
      </c>
      <c r="K136" s="6">
        <v>0</v>
      </c>
      <c r="L136" s="6">
        <v>581.66600000000005</v>
      </c>
      <c r="M136" s="6">
        <v>581.66600000000005</v>
      </c>
      <c r="N136" s="6">
        <v>581.66600000000005</v>
      </c>
      <c r="O136" s="6">
        <v>581.66600000000005</v>
      </c>
      <c r="P136" s="6">
        <v>3095</v>
      </c>
      <c r="Q136" s="4" t="s">
        <v>26</v>
      </c>
      <c r="R136" s="4">
        <v>0</v>
      </c>
      <c r="S136" s="6">
        <v>0</v>
      </c>
      <c r="T136" s="6">
        <v>15</v>
      </c>
      <c r="U136" s="6">
        <v>43</v>
      </c>
      <c r="V136" s="6">
        <f>IF(ISERROR(VLOOKUP($S$136,'TAR FIN'!$A$1:$O$85,15,0)),0,VLOOKUP($S$136,'TAR FIN'!$A$1:$O$85,15,0))</f>
        <v>0</v>
      </c>
      <c r="W136" s="6">
        <f>IF(ISERROR(VLOOKUP($T$136,'TAR FIN'!$A$1:$O$85,15,0)),0,VLOOKUP($T$136,'TAR FIN'!$A$1:$O$85,15,0))</f>
        <v>609.05999999999995</v>
      </c>
      <c r="X136" s="6">
        <f>IF(ISERROR(VLOOKUP($U$136,'TAR FIN'!$A$1:$O$85,15,0)),0,VLOOKUP($U$136,'TAR FIN'!$A$1:$O$85,15,0))</f>
        <v>119.97</v>
      </c>
      <c r="Y136" s="6"/>
      <c r="Z136" s="6">
        <f ca="1">('TUSD BE'!$AM$20+'TUSD BF'!$AM$20+'TUSD CVA'!$AM$20)*1</f>
        <v>659.71654674120782</v>
      </c>
      <c r="AA136" s="6">
        <f>('TE BE'!$AB$10+'TE BF'!$AB$10+'TE CVA'!$AB$10)*1</f>
        <v>122.58638016056723</v>
      </c>
      <c r="AB136" s="6">
        <f>$K$136*$V$136</f>
        <v>0</v>
      </c>
      <c r="AC136" s="6">
        <f>$M$136*$W$136</f>
        <v>354269.49395999999</v>
      </c>
      <c r="AD136" s="6">
        <f>$O$136*$X$136</f>
        <v>69782.470020000008</v>
      </c>
      <c r="AE136" s="6">
        <f>$K$136*$Y$136</f>
        <v>0</v>
      </c>
      <c r="AF136" s="6">
        <f ca="1">$M$136*$Z$136</f>
        <v>383734.68487677141</v>
      </c>
      <c r="AG136" s="6">
        <f>$O$136*$AA$136</f>
        <v>71304.329402476505</v>
      </c>
    </row>
    <row r="137" spans="1:33" ht="11.25" customHeight="1" x14ac:dyDescent="0.3">
      <c r="A137" s="4" t="s">
        <v>27</v>
      </c>
      <c r="B137" s="4" t="s">
        <v>22</v>
      </c>
      <c r="C137" s="4" t="s">
        <v>23</v>
      </c>
      <c r="D137" s="4" t="s">
        <v>24</v>
      </c>
      <c r="E137" s="4" t="s">
        <v>24</v>
      </c>
      <c r="F137" s="4" t="s">
        <v>25</v>
      </c>
      <c r="G137" s="4" t="s">
        <v>25</v>
      </c>
      <c r="H137" s="4" t="s">
        <v>25</v>
      </c>
      <c r="I137" s="5">
        <v>44743</v>
      </c>
      <c r="J137" s="6">
        <v>0</v>
      </c>
      <c r="K137" s="6">
        <v>0</v>
      </c>
      <c r="L137" s="6">
        <v>-3.3650000000000002</v>
      </c>
      <c r="M137" s="6">
        <v>-3.3650000000000002</v>
      </c>
      <c r="N137" s="6">
        <v>-3.3650000000000002</v>
      </c>
      <c r="O137" s="6">
        <v>-3.3650000000000002</v>
      </c>
      <c r="P137" s="6">
        <v>0</v>
      </c>
      <c r="Q137" s="4" t="s">
        <v>26</v>
      </c>
      <c r="R137" s="4">
        <v>0</v>
      </c>
      <c r="S137" s="6">
        <v>0</v>
      </c>
      <c r="T137" s="6">
        <v>15</v>
      </c>
      <c r="U137" s="6">
        <v>43</v>
      </c>
      <c r="V137" s="6">
        <f>IF(ISERROR(VLOOKUP($S$137,'TAR FIN'!$A$1:$O$85,15,0)),0,VLOOKUP($S$137,'TAR FIN'!$A$1:$O$85,15,0))</f>
        <v>0</v>
      </c>
      <c r="W137" s="6">
        <f>IF(ISERROR(VLOOKUP($T$137,'TAR FIN'!$A$1:$O$85,15,0)),0,VLOOKUP($T$137,'TAR FIN'!$A$1:$O$85,15,0))</f>
        <v>609.05999999999995</v>
      </c>
      <c r="X137" s="6">
        <f>IF(ISERROR(VLOOKUP($U$137,'TAR FIN'!$A$1:$O$85,15,0)),0,VLOOKUP($U$137,'TAR FIN'!$A$1:$O$85,15,0))</f>
        <v>119.97</v>
      </c>
      <c r="Y137" s="6"/>
      <c r="Z137" s="6">
        <f ca="1">('TUSD BE'!$AM$20+'TUSD BF'!$AM$20+'TUSD CVA'!$AM$20)*1</f>
        <v>659.71654674120782</v>
      </c>
      <c r="AA137" s="6">
        <f>('TE BE'!$AB$10+'TE BF'!$AB$10+'TE CVA'!$AB$10)*1</f>
        <v>122.58638016056723</v>
      </c>
      <c r="AB137" s="6">
        <f>$K$137*$V$137</f>
        <v>0</v>
      </c>
      <c r="AC137" s="6">
        <f>$M$137*$W$137</f>
        <v>-2049.4868999999999</v>
      </c>
      <c r="AD137" s="6">
        <f>$O$137*$X$137</f>
        <v>-403.69905</v>
      </c>
      <c r="AE137" s="6">
        <f>$K$137*$Y$137</f>
        <v>0</v>
      </c>
      <c r="AF137" s="6">
        <f ca="1">$M$137*$Z$137</f>
        <v>-2219.9461797841645</v>
      </c>
      <c r="AG137" s="6">
        <f>$O$137*$AA$137</f>
        <v>-412.50316924030875</v>
      </c>
    </row>
    <row r="138" spans="1:33" ht="11.25" customHeight="1" x14ac:dyDescent="0.3">
      <c r="A138" s="4" t="s">
        <v>28</v>
      </c>
      <c r="B138" s="4" t="s">
        <v>22</v>
      </c>
      <c r="C138" s="4" t="s">
        <v>23</v>
      </c>
      <c r="D138" s="4" t="s">
        <v>24</v>
      </c>
      <c r="E138" s="4" t="s">
        <v>24</v>
      </c>
      <c r="F138" s="4" t="s">
        <v>25</v>
      </c>
      <c r="G138" s="4" t="s">
        <v>25</v>
      </c>
      <c r="H138" s="4" t="s">
        <v>25</v>
      </c>
      <c r="I138" s="5">
        <v>44743</v>
      </c>
      <c r="J138" s="6">
        <v>0</v>
      </c>
      <c r="K138" s="6">
        <v>0</v>
      </c>
      <c r="L138" s="6">
        <v>10.53</v>
      </c>
      <c r="M138" s="6">
        <v>10.53</v>
      </c>
      <c r="N138" s="6">
        <v>10.53</v>
      </c>
      <c r="O138" s="6">
        <v>10.53</v>
      </c>
      <c r="P138" s="6">
        <v>57</v>
      </c>
      <c r="Q138" s="4" t="s">
        <v>26</v>
      </c>
      <c r="R138" s="4">
        <v>0</v>
      </c>
      <c r="S138" s="6">
        <v>0</v>
      </c>
      <c r="T138" s="6">
        <v>15</v>
      </c>
      <c r="U138" s="6">
        <v>43</v>
      </c>
      <c r="V138" s="6">
        <f>IF(ISERROR(VLOOKUP($S$138,'TAR FIN'!$A$1:$O$85,15,0)),0,VLOOKUP($S$138,'TAR FIN'!$A$1:$O$85,15,0))</f>
        <v>0</v>
      </c>
      <c r="W138" s="6">
        <f>IF(ISERROR(VLOOKUP($T$138,'TAR FIN'!$A$1:$O$85,15,0)),0,VLOOKUP($T$138,'TAR FIN'!$A$1:$O$85,15,0))</f>
        <v>609.05999999999995</v>
      </c>
      <c r="X138" s="6">
        <f>IF(ISERROR(VLOOKUP($U$138,'TAR FIN'!$A$1:$O$85,15,0)),0,VLOOKUP($U$138,'TAR FIN'!$A$1:$O$85,15,0))</f>
        <v>119.97</v>
      </c>
      <c r="Y138" s="6"/>
      <c r="Z138" s="6">
        <f ca="1">('TUSD BE'!$AM$20+'TUSD BF'!$AM$20+'TUSD CVA'!$AM$20)*1</f>
        <v>659.71654674120782</v>
      </c>
      <c r="AA138" s="6">
        <f>('TE BE'!$AB$10+'TE BF'!$AB$10+'TE CVA'!$AB$10)*1</f>
        <v>122.58638016056723</v>
      </c>
      <c r="AB138" s="6">
        <f>$K$138*$V$138</f>
        <v>0</v>
      </c>
      <c r="AC138" s="6">
        <f>$M$138*$W$138</f>
        <v>6413.4017999999987</v>
      </c>
      <c r="AD138" s="6">
        <f>$O$138*$X$138</f>
        <v>1263.2840999999999</v>
      </c>
      <c r="AE138" s="6">
        <f>$K$138*$Y$138</f>
        <v>0</v>
      </c>
      <c r="AF138" s="6">
        <f ca="1">$M$138*$Z$138</f>
        <v>6946.8152371849183</v>
      </c>
      <c r="AG138" s="6">
        <f>$O$138*$AA$138</f>
        <v>1290.8345830907729</v>
      </c>
    </row>
    <row r="139" spans="1:33" ht="11.25" customHeight="1" x14ac:dyDescent="0.3">
      <c r="A139" s="4" t="s">
        <v>52</v>
      </c>
      <c r="B139" s="4" t="s">
        <v>22</v>
      </c>
      <c r="C139" s="4" t="s">
        <v>23</v>
      </c>
      <c r="D139" s="4" t="s">
        <v>24</v>
      </c>
      <c r="E139" s="4" t="s">
        <v>24</v>
      </c>
      <c r="F139" s="4" t="s">
        <v>25</v>
      </c>
      <c r="G139" s="4" t="s">
        <v>25</v>
      </c>
      <c r="H139" s="4" t="s">
        <v>25</v>
      </c>
      <c r="I139" s="5">
        <v>44774</v>
      </c>
      <c r="J139" s="6">
        <v>0</v>
      </c>
      <c r="K139" s="6">
        <v>0</v>
      </c>
      <c r="L139" s="6">
        <v>581.66600000000005</v>
      </c>
      <c r="M139" s="6">
        <v>581.66600000000005</v>
      </c>
      <c r="N139" s="6">
        <v>581.66600000000005</v>
      </c>
      <c r="O139" s="6">
        <v>581.66600000000005</v>
      </c>
      <c r="P139" s="6">
        <v>3095</v>
      </c>
      <c r="Q139" s="4" t="s">
        <v>26</v>
      </c>
      <c r="R139" s="4">
        <v>0</v>
      </c>
      <c r="S139" s="6">
        <v>0</v>
      </c>
      <c r="T139" s="6">
        <v>15</v>
      </c>
      <c r="U139" s="6">
        <v>43</v>
      </c>
      <c r="V139" s="6">
        <f>IF(ISERROR(VLOOKUP($S$139,'TAR FIN'!$A$1:$O$85,15,0)),0,VLOOKUP($S$139,'TAR FIN'!$A$1:$O$85,15,0))</f>
        <v>0</v>
      </c>
      <c r="W139" s="6">
        <f>IF(ISERROR(VLOOKUP($T$139,'TAR FIN'!$A$1:$O$85,15,0)),0,VLOOKUP($T$139,'TAR FIN'!$A$1:$O$85,15,0))</f>
        <v>609.05999999999995</v>
      </c>
      <c r="X139" s="6">
        <f>IF(ISERROR(VLOOKUP($U$139,'TAR FIN'!$A$1:$O$85,15,0)),0,VLOOKUP($U$139,'TAR FIN'!$A$1:$O$85,15,0))</f>
        <v>119.97</v>
      </c>
      <c r="Y139" s="6"/>
      <c r="Z139" s="6">
        <f ca="1">('TUSD BE'!$AM$20+'TUSD BF'!$AM$20+'TUSD CVA'!$AM$20)*1</f>
        <v>659.71654674120782</v>
      </c>
      <c r="AA139" s="6">
        <f>('TE BE'!$AB$10+'TE BF'!$AB$10+'TE CVA'!$AB$10)*1</f>
        <v>122.58638016056723</v>
      </c>
      <c r="AB139" s="6">
        <f>$K$139*$V$139</f>
        <v>0</v>
      </c>
      <c r="AC139" s="6">
        <f>$M$139*$W$139</f>
        <v>354269.49395999999</v>
      </c>
      <c r="AD139" s="6">
        <f>$O$139*$X$139</f>
        <v>69782.470020000008</v>
      </c>
      <c r="AE139" s="6">
        <f>$K$139*$Y$139</f>
        <v>0</v>
      </c>
      <c r="AF139" s="6">
        <f ca="1">$M$139*$Z$139</f>
        <v>383734.68487677141</v>
      </c>
      <c r="AG139" s="6">
        <f>$O$139*$AA$139</f>
        <v>71304.329402476505</v>
      </c>
    </row>
    <row r="140" spans="1:33" ht="11.25" customHeight="1" x14ac:dyDescent="0.3">
      <c r="A140" s="4" t="s">
        <v>52</v>
      </c>
      <c r="B140" s="4" t="s">
        <v>22</v>
      </c>
      <c r="C140" s="4" t="s">
        <v>23</v>
      </c>
      <c r="D140" s="4" t="s">
        <v>24</v>
      </c>
      <c r="E140" s="4" t="s">
        <v>24</v>
      </c>
      <c r="F140" s="4" t="s">
        <v>25</v>
      </c>
      <c r="G140" s="4" t="s">
        <v>25</v>
      </c>
      <c r="H140" s="4" t="s">
        <v>25</v>
      </c>
      <c r="I140" s="5">
        <v>44774</v>
      </c>
      <c r="J140" s="6">
        <v>0</v>
      </c>
      <c r="K140" s="6">
        <v>0</v>
      </c>
      <c r="L140" s="6">
        <v>-3.3650000000000002</v>
      </c>
      <c r="M140" s="6">
        <v>-3.3650000000000002</v>
      </c>
      <c r="N140" s="6">
        <v>-3.3650000000000002</v>
      </c>
      <c r="O140" s="6">
        <v>-3.3650000000000002</v>
      </c>
      <c r="P140" s="6">
        <v>0</v>
      </c>
      <c r="Q140" s="4" t="s">
        <v>26</v>
      </c>
      <c r="R140" s="4">
        <v>0</v>
      </c>
      <c r="S140" s="6">
        <v>0</v>
      </c>
      <c r="T140" s="6">
        <v>15</v>
      </c>
      <c r="U140" s="6">
        <v>43</v>
      </c>
      <c r="V140" s="6">
        <f>IF(ISERROR(VLOOKUP($S$140,'TAR FIN'!$A$1:$O$85,15,0)),0,VLOOKUP($S$140,'TAR FIN'!$A$1:$O$85,15,0))</f>
        <v>0</v>
      </c>
      <c r="W140" s="6">
        <f>IF(ISERROR(VLOOKUP($T$140,'TAR FIN'!$A$1:$O$85,15,0)),0,VLOOKUP($T$140,'TAR FIN'!$A$1:$O$85,15,0))</f>
        <v>609.05999999999995</v>
      </c>
      <c r="X140" s="6">
        <f>IF(ISERROR(VLOOKUP($U$140,'TAR FIN'!$A$1:$O$85,15,0)),0,VLOOKUP($U$140,'TAR FIN'!$A$1:$O$85,15,0))</f>
        <v>119.97</v>
      </c>
      <c r="Y140" s="6"/>
      <c r="Z140" s="6">
        <f ca="1">('TUSD BE'!$AM$20+'TUSD BF'!$AM$20+'TUSD CVA'!$AM$20)*1</f>
        <v>659.71654674120782</v>
      </c>
      <c r="AA140" s="6">
        <f>('TE BE'!$AB$10+'TE BF'!$AB$10+'TE CVA'!$AB$10)*1</f>
        <v>122.58638016056723</v>
      </c>
      <c r="AB140" s="6">
        <f>$K$140*$V$140</f>
        <v>0</v>
      </c>
      <c r="AC140" s="6">
        <f>$M$140*$W$140</f>
        <v>-2049.4868999999999</v>
      </c>
      <c r="AD140" s="6">
        <f>$O$140*$X$140</f>
        <v>-403.69905</v>
      </c>
      <c r="AE140" s="6">
        <f>$K$140*$Y$140</f>
        <v>0</v>
      </c>
      <c r="AF140" s="6">
        <f ca="1">$M$140*$Z$140</f>
        <v>-2219.9461797841645</v>
      </c>
      <c r="AG140" s="6">
        <f>$O$140*$AA$140</f>
        <v>-412.50316924030875</v>
      </c>
    </row>
    <row r="141" spans="1:33" ht="11.25" customHeight="1" x14ac:dyDescent="0.3">
      <c r="A141" s="4" t="s">
        <v>52</v>
      </c>
      <c r="B141" s="4" t="s">
        <v>22</v>
      </c>
      <c r="C141" s="4" t="s">
        <v>23</v>
      </c>
      <c r="D141" s="4" t="s">
        <v>24</v>
      </c>
      <c r="E141" s="4" t="s">
        <v>24</v>
      </c>
      <c r="F141" s="4" t="s">
        <v>25</v>
      </c>
      <c r="G141" s="4" t="s">
        <v>25</v>
      </c>
      <c r="H141" s="4" t="s">
        <v>25</v>
      </c>
      <c r="I141" s="5">
        <v>44774</v>
      </c>
      <c r="J141" s="6">
        <v>0</v>
      </c>
      <c r="K141" s="6">
        <v>0</v>
      </c>
      <c r="L141" s="6">
        <v>10.53</v>
      </c>
      <c r="M141" s="6">
        <v>10.53</v>
      </c>
      <c r="N141" s="6">
        <v>10.53</v>
      </c>
      <c r="O141" s="6">
        <v>10.53</v>
      </c>
      <c r="P141" s="6">
        <v>57</v>
      </c>
      <c r="Q141" s="4" t="s">
        <v>26</v>
      </c>
      <c r="R141" s="4">
        <v>0</v>
      </c>
      <c r="S141" s="6">
        <v>0</v>
      </c>
      <c r="T141" s="6">
        <v>15</v>
      </c>
      <c r="U141" s="6">
        <v>43</v>
      </c>
      <c r="V141" s="6">
        <f>IF(ISERROR(VLOOKUP($S$141,'TAR FIN'!$A$1:$O$85,15,0)),0,VLOOKUP($S$141,'TAR FIN'!$A$1:$O$85,15,0))</f>
        <v>0</v>
      </c>
      <c r="W141" s="6">
        <f>IF(ISERROR(VLOOKUP($T$141,'TAR FIN'!$A$1:$O$85,15,0)),0,VLOOKUP($T$141,'TAR FIN'!$A$1:$O$85,15,0))</f>
        <v>609.05999999999995</v>
      </c>
      <c r="X141" s="6">
        <f>IF(ISERROR(VLOOKUP($U$141,'TAR FIN'!$A$1:$O$85,15,0)),0,VLOOKUP($U$141,'TAR FIN'!$A$1:$O$85,15,0))</f>
        <v>119.97</v>
      </c>
      <c r="Y141" s="6"/>
      <c r="Z141" s="6">
        <f ca="1">('TUSD BE'!$AM$20+'TUSD BF'!$AM$20+'TUSD CVA'!$AM$20)*1</f>
        <v>659.71654674120782</v>
      </c>
      <c r="AA141" s="6">
        <f>('TE BE'!$AB$10+'TE BF'!$AB$10+'TE CVA'!$AB$10)*1</f>
        <v>122.58638016056723</v>
      </c>
      <c r="AB141" s="6">
        <f>$K$141*$V$141</f>
        <v>0</v>
      </c>
      <c r="AC141" s="6">
        <f>$M$141*$W$141</f>
        <v>6413.4017999999987</v>
      </c>
      <c r="AD141" s="6">
        <f>$O$141*$X$141</f>
        <v>1263.2840999999999</v>
      </c>
      <c r="AE141" s="6">
        <f>$K$141*$Y$141</f>
        <v>0</v>
      </c>
      <c r="AF141" s="6">
        <f ca="1">$M$141*$Z$141</f>
        <v>6946.8152371849183</v>
      </c>
      <c r="AG141" s="6">
        <f>$O$141*$AA$141</f>
        <v>1290.8345830907729</v>
      </c>
    </row>
    <row r="142" spans="1:33" ht="11.25" customHeight="1" x14ac:dyDescent="0.3">
      <c r="A142" s="4" t="s">
        <v>21</v>
      </c>
      <c r="B142" s="4" t="s">
        <v>22</v>
      </c>
      <c r="C142" s="4" t="s">
        <v>23</v>
      </c>
      <c r="D142" s="4" t="s">
        <v>24</v>
      </c>
      <c r="E142" s="4" t="s">
        <v>29</v>
      </c>
      <c r="F142" s="4" t="s">
        <v>25</v>
      </c>
      <c r="G142" s="4" t="s">
        <v>25</v>
      </c>
      <c r="H142" s="4" t="s">
        <v>25</v>
      </c>
      <c r="I142" s="5">
        <v>44440</v>
      </c>
      <c r="J142" s="6">
        <v>0</v>
      </c>
      <c r="K142" s="6">
        <v>0</v>
      </c>
      <c r="L142" s="6">
        <v>3.93</v>
      </c>
      <c r="M142" s="6">
        <v>3.93</v>
      </c>
      <c r="N142" s="6">
        <v>3.93</v>
      </c>
      <c r="O142" s="6">
        <v>3.93</v>
      </c>
      <c r="P142" s="6">
        <v>13</v>
      </c>
      <c r="Q142" s="4" t="s">
        <v>26</v>
      </c>
      <c r="R142" s="4">
        <v>0</v>
      </c>
      <c r="S142" s="6">
        <v>0</v>
      </c>
      <c r="T142" s="6">
        <v>2</v>
      </c>
      <c r="U142" s="6">
        <v>38</v>
      </c>
      <c r="V142" s="6">
        <f>IF(ISERROR(VLOOKUP($S$142,'TAR FIN'!$A$1:$O$85,15,0)),0,VLOOKUP($S$142,'TAR FIN'!$A$1:$O$85,15,0))</f>
        <v>0</v>
      </c>
      <c r="W142" s="6">
        <f>IF(ISERROR(VLOOKUP($T$142,'TAR FIN'!$A$1:$O$85,15,0)),0,VLOOKUP($T$142,'TAR FIN'!$A$1:$O$85,15,0))</f>
        <v>190.95</v>
      </c>
      <c r="X142" s="6">
        <f>IF(ISERROR(VLOOKUP($U$142,'TAR FIN'!$A$1:$O$85,15,0)),0,VLOOKUP($U$142,'TAR FIN'!$A$1:$O$85,15,0))</f>
        <v>41.99</v>
      </c>
      <c r="Y142" s="6"/>
      <c r="Z142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142" s="6">
        <f>('TE BE'!$AB$11+'TE BF'!$AB$11+'TE CVA'!$AB$11)*(1-CUSTOS!$M$34)</f>
        <v>42.905233056198526</v>
      </c>
      <c r="AB142" s="6">
        <f>$K$142*$V$142</f>
        <v>0</v>
      </c>
      <c r="AC142" s="6">
        <f>$M$142*$W$142</f>
        <v>750.43349999999998</v>
      </c>
      <c r="AD142" s="6">
        <f>$O$142*$X$142</f>
        <v>165.02070000000001</v>
      </c>
      <c r="AE142" s="6">
        <f>$K$142*$Y$142</f>
        <v>0</v>
      </c>
      <c r="AF142" s="6">
        <f ca="1">$M$142*$Z$142</f>
        <v>764.67648272819156</v>
      </c>
      <c r="AG142" s="6">
        <f>$O$142*$AA$142</f>
        <v>168.61756591086021</v>
      </c>
    </row>
    <row r="143" spans="1:33" ht="11.25" customHeight="1" x14ac:dyDescent="0.3">
      <c r="A143" s="4" t="s">
        <v>21</v>
      </c>
      <c r="B143" s="4" t="s">
        <v>22</v>
      </c>
      <c r="C143" s="4" t="s">
        <v>23</v>
      </c>
      <c r="D143" s="4" t="s">
        <v>24</v>
      </c>
      <c r="E143" s="4" t="s">
        <v>29</v>
      </c>
      <c r="F143" s="4" t="s">
        <v>25</v>
      </c>
      <c r="G143" s="4" t="s">
        <v>25</v>
      </c>
      <c r="H143" s="4" t="s">
        <v>25</v>
      </c>
      <c r="I143" s="5">
        <v>44470</v>
      </c>
      <c r="J143" s="6">
        <v>0</v>
      </c>
      <c r="K143" s="6">
        <v>0</v>
      </c>
      <c r="L143" s="6">
        <v>4.05</v>
      </c>
      <c r="M143" s="6">
        <v>4.05</v>
      </c>
      <c r="N143" s="6">
        <v>4.05</v>
      </c>
      <c r="O143" s="6">
        <v>4.05</v>
      </c>
      <c r="P143" s="6">
        <v>7</v>
      </c>
      <c r="Q143" s="4" t="s">
        <v>26</v>
      </c>
      <c r="R143" s="4">
        <v>0</v>
      </c>
      <c r="S143" s="6">
        <v>0</v>
      </c>
      <c r="T143" s="6">
        <v>2</v>
      </c>
      <c r="U143" s="6">
        <v>38</v>
      </c>
      <c r="V143" s="6">
        <f>IF(ISERROR(VLOOKUP($S$143,'TAR FIN'!$A$1:$O$85,15,0)),0,VLOOKUP($S$143,'TAR FIN'!$A$1:$O$85,15,0))</f>
        <v>0</v>
      </c>
      <c r="W143" s="6">
        <f>IF(ISERROR(VLOOKUP($T$143,'TAR FIN'!$A$1:$O$85,15,0)),0,VLOOKUP($T$143,'TAR FIN'!$A$1:$O$85,15,0))</f>
        <v>190.95</v>
      </c>
      <c r="X143" s="6">
        <f>IF(ISERROR(VLOOKUP($U$143,'TAR FIN'!$A$1:$O$85,15,0)),0,VLOOKUP($U$143,'TAR FIN'!$A$1:$O$85,15,0))</f>
        <v>41.99</v>
      </c>
      <c r="Y143" s="6"/>
      <c r="Z143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143" s="6">
        <f>('TE BE'!$AB$11+'TE BF'!$AB$11+'TE CVA'!$AB$11)*(1-CUSTOS!$M$34)</f>
        <v>42.905233056198526</v>
      </c>
      <c r="AB143" s="6">
        <f>$K$143*$V$143</f>
        <v>0</v>
      </c>
      <c r="AC143" s="6">
        <f>$M$143*$W$143</f>
        <v>773.34749999999997</v>
      </c>
      <c r="AD143" s="6">
        <f>$O$143*$X$143</f>
        <v>170.05950000000001</v>
      </c>
      <c r="AE143" s="6">
        <f>$K$143*$Y$143</f>
        <v>0</v>
      </c>
      <c r="AF143" s="6">
        <f ca="1">$M$143*$Z$143</f>
        <v>788.02538296416685</v>
      </c>
      <c r="AG143" s="6">
        <f>$O$143*$AA$143</f>
        <v>173.76619387760402</v>
      </c>
    </row>
    <row r="144" spans="1:33" ht="11.25" customHeight="1" x14ac:dyDescent="0.3">
      <c r="A144" s="4" t="s">
        <v>21</v>
      </c>
      <c r="B144" s="4" t="s">
        <v>22</v>
      </c>
      <c r="C144" s="4" t="s">
        <v>23</v>
      </c>
      <c r="D144" s="4" t="s">
        <v>24</v>
      </c>
      <c r="E144" s="4" t="s">
        <v>29</v>
      </c>
      <c r="F144" s="4" t="s">
        <v>25</v>
      </c>
      <c r="G144" s="4" t="s">
        <v>25</v>
      </c>
      <c r="H144" s="4" t="s">
        <v>25</v>
      </c>
      <c r="I144" s="5">
        <v>44501</v>
      </c>
      <c r="J144" s="6">
        <v>0</v>
      </c>
      <c r="K144" s="6">
        <v>0</v>
      </c>
      <c r="L144" s="6">
        <v>4.08</v>
      </c>
      <c r="M144" s="6">
        <v>4.08</v>
      </c>
      <c r="N144" s="6">
        <v>4.08</v>
      </c>
      <c r="O144" s="6">
        <v>4.08</v>
      </c>
      <c r="P144" s="6">
        <v>7</v>
      </c>
      <c r="Q144" s="4" t="s">
        <v>26</v>
      </c>
      <c r="R144" s="4">
        <v>0</v>
      </c>
      <c r="S144" s="6">
        <v>0</v>
      </c>
      <c r="T144" s="6">
        <v>2</v>
      </c>
      <c r="U144" s="6">
        <v>38</v>
      </c>
      <c r="V144" s="6">
        <f>IF(ISERROR(VLOOKUP($S$144,'TAR FIN'!$A$1:$O$85,15,0)),0,VLOOKUP($S$144,'TAR FIN'!$A$1:$O$85,15,0))</f>
        <v>0</v>
      </c>
      <c r="W144" s="6">
        <f>IF(ISERROR(VLOOKUP($T$144,'TAR FIN'!$A$1:$O$85,15,0)),0,VLOOKUP($T$144,'TAR FIN'!$A$1:$O$85,15,0))</f>
        <v>190.95</v>
      </c>
      <c r="X144" s="6">
        <f>IF(ISERROR(VLOOKUP($U$144,'TAR FIN'!$A$1:$O$85,15,0)),0,VLOOKUP($U$144,'TAR FIN'!$A$1:$O$85,15,0))</f>
        <v>41.99</v>
      </c>
      <c r="Y144" s="6"/>
      <c r="Z144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144" s="6">
        <f>('TE BE'!$AB$11+'TE BF'!$AB$11+'TE CVA'!$AB$11)*(1-CUSTOS!$M$34)</f>
        <v>42.905233056198526</v>
      </c>
      <c r="AB144" s="6">
        <f>$K$144*$V$144</f>
        <v>0</v>
      </c>
      <c r="AC144" s="6">
        <f>$M$144*$W$144</f>
        <v>779.07600000000002</v>
      </c>
      <c r="AD144" s="6">
        <f>$O$144*$X$144</f>
        <v>171.31920000000002</v>
      </c>
      <c r="AE144" s="6">
        <f>$K$144*$Y$144</f>
        <v>0</v>
      </c>
      <c r="AF144" s="6">
        <f ca="1">$M$144*$Z$144</f>
        <v>793.86260802316065</v>
      </c>
      <c r="AG144" s="6">
        <f>$O$144*$AA$144</f>
        <v>175.05335086929</v>
      </c>
    </row>
    <row r="145" spans="1:33" ht="11.25" customHeight="1" x14ac:dyDescent="0.3">
      <c r="A145" s="4" t="s">
        <v>21</v>
      </c>
      <c r="B145" s="4" t="s">
        <v>22</v>
      </c>
      <c r="C145" s="4" t="s">
        <v>23</v>
      </c>
      <c r="D145" s="4" t="s">
        <v>24</v>
      </c>
      <c r="E145" s="4" t="s">
        <v>29</v>
      </c>
      <c r="F145" s="4" t="s">
        <v>25</v>
      </c>
      <c r="G145" s="4" t="s">
        <v>25</v>
      </c>
      <c r="H145" s="4" t="s">
        <v>25</v>
      </c>
      <c r="I145" s="5">
        <v>44531</v>
      </c>
      <c r="J145" s="6">
        <v>0</v>
      </c>
      <c r="K145" s="6">
        <v>0</v>
      </c>
      <c r="L145" s="6">
        <v>4.17</v>
      </c>
      <c r="M145" s="6">
        <v>4.17</v>
      </c>
      <c r="N145" s="6">
        <v>4.17</v>
      </c>
      <c r="O145" s="6">
        <v>4.17</v>
      </c>
      <c r="P145" s="6">
        <v>7</v>
      </c>
      <c r="Q145" s="4" t="s">
        <v>26</v>
      </c>
      <c r="R145" s="4">
        <v>0</v>
      </c>
      <c r="S145" s="6">
        <v>0</v>
      </c>
      <c r="T145" s="6">
        <v>2</v>
      </c>
      <c r="U145" s="6">
        <v>38</v>
      </c>
      <c r="V145" s="6">
        <f>IF(ISERROR(VLOOKUP($S$145,'TAR FIN'!$A$1:$O$85,15,0)),0,VLOOKUP($S$145,'TAR FIN'!$A$1:$O$85,15,0))</f>
        <v>0</v>
      </c>
      <c r="W145" s="6">
        <f>IF(ISERROR(VLOOKUP($T$145,'TAR FIN'!$A$1:$O$85,15,0)),0,VLOOKUP($T$145,'TAR FIN'!$A$1:$O$85,15,0))</f>
        <v>190.95</v>
      </c>
      <c r="X145" s="6">
        <f>IF(ISERROR(VLOOKUP($U$145,'TAR FIN'!$A$1:$O$85,15,0)),0,VLOOKUP($U$145,'TAR FIN'!$A$1:$O$85,15,0))</f>
        <v>41.99</v>
      </c>
      <c r="Y145" s="6"/>
      <c r="Z145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145" s="6">
        <f>('TE BE'!$AB$11+'TE BF'!$AB$11+'TE CVA'!$AB$11)*(1-CUSTOS!$M$34)</f>
        <v>42.905233056198526</v>
      </c>
      <c r="AB145" s="6">
        <f>$K$145*$V$145</f>
        <v>0</v>
      </c>
      <c r="AC145" s="6">
        <f>$M$145*$W$145</f>
        <v>796.26149999999996</v>
      </c>
      <c r="AD145" s="6">
        <f>$O$145*$X$145</f>
        <v>175.09829999999999</v>
      </c>
      <c r="AE145" s="6">
        <f>$K$145*$Y$145</f>
        <v>0</v>
      </c>
      <c r="AF145" s="6">
        <f ca="1">$M$145*$Z$145</f>
        <v>811.37428320014214</v>
      </c>
      <c r="AG145" s="6">
        <f>$O$145*$AA$145</f>
        <v>178.91482184434784</v>
      </c>
    </row>
    <row r="146" spans="1:33" ht="11.25" customHeight="1" x14ac:dyDescent="0.3">
      <c r="A146" s="4" t="s">
        <v>21</v>
      </c>
      <c r="B146" s="4" t="s">
        <v>22</v>
      </c>
      <c r="C146" s="4" t="s">
        <v>23</v>
      </c>
      <c r="D146" s="4" t="s">
        <v>24</v>
      </c>
      <c r="E146" s="4" t="s">
        <v>29</v>
      </c>
      <c r="F146" s="4" t="s">
        <v>25</v>
      </c>
      <c r="G146" s="4" t="s">
        <v>25</v>
      </c>
      <c r="H146" s="4" t="s">
        <v>25</v>
      </c>
      <c r="I146" s="5">
        <v>44562</v>
      </c>
      <c r="J146" s="6">
        <v>0</v>
      </c>
      <c r="K146" s="6">
        <v>0</v>
      </c>
      <c r="L146" s="6">
        <v>4.2300000000000004</v>
      </c>
      <c r="M146" s="6">
        <v>4.2300000000000004</v>
      </c>
      <c r="N146" s="6">
        <v>4.2300000000000004</v>
      </c>
      <c r="O146" s="6">
        <v>4.2300000000000004</v>
      </c>
      <c r="P146" s="6">
        <v>10</v>
      </c>
      <c r="Q146" s="4" t="s">
        <v>26</v>
      </c>
      <c r="R146" s="4">
        <v>0</v>
      </c>
      <c r="S146" s="6">
        <v>0</v>
      </c>
      <c r="T146" s="6">
        <v>2</v>
      </c>
      <c r="U146" s="6">
        <v>38</v>
      </c>
      <c r="V146" s="6">
        <f>IF(ISERROR(VLOOKUP($S$146,'TAR FIN'!$A$1:$O$85,15,0)),0,VLOOKUP($S$146,'TAR FIN'!$A$1:$O$85,15,0))</f>
        <v>0</v>
      </c>
      <c r="W146" s="6">
        <f>IF(ISERROR(VLOOKUP($T$146,'TAR FIN'!$A$1:$O$85,15,0)),0,VLOOKUP($T$146,'TAR FIN'!$A$1:$O$85,15,0))</f>
        <v>190.95</v>
      </c>
      <c r="X146" s="6">
        <f>IF(ISERROR(VLOOKUP($U$146,'TAR FIN'!$A$1:$O$85,15,0)),0,VLOOKUP($U$146,'TAR FIN'!$A$1:$O$85,15,0))</f>
        <v>41.99</v>
      </c>
      <c r="Y146" s="6"/>
      <c r="Z146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146" s="6">
        <f>('TE BE'!$AB$11+'TE BF'!$AB$11+'TE CVA'!$AB$11)*(1-CUSTOS!$M$34)</f>
        <v>42.905233056198526</v>
      </c>
      <c r="AB146" s="6">
        <f>$K$146*$V$146</f>
        <v>0</v>
      </c>
      <c r="AC146" s="6">
        <f>$M$146*$W$146</f>
        <v>807.71850000000006</v>
      </c>
      <c r="AD146" s="6">
        <f>$O$146*$X$146</f>
        <v>177.61770000000001</v>
      </c>
      <c r="AE146" s="6">
        <f>$K$146*$Y$146</f>
        <v>0</v>
      </c>
      <c r="AF146" s="6">
        <f ca="1">$M$146*$Z$146</f>
        <v>823.04873331812985</v>
      </c>
      <c r="AG146" s="6">
        <f>$O$146*$AA$146</f>
        <v>181.48913582771979</v>
      </c>
    </row>
    <row r="147" spans="1:33" ht="11.25" customHeight="1" x14ac:dyDescent="0.3">
      <c r="A147" s="4" t="s">
        <v>21</v>
      </c>
      <c r="B147" s="4" t="s">
        <v>22</v>
      </c>
      <c r="C147" s="4" t="s">
        <v>23</v>
      </c>
      <c r="D147" s="4" t="s">
        <v>24</v>
      </c>
      <c r="E147" s="4" t="s">
        <v>29</v>
      </c>
      <c r="F147" s="4" t="s">
        <v>25</v>
      </c>
      <c r="G147" s="4" t="s">
        <v>25</v>
      </c>
      <c r="H147" s="4" t="s">
        <v>25</v>
      </c>
      <c r="I147" s="5">
        <v>44593</v>
      </c>
      <c r="J147" s="6">
        <v>0</v>
      </c>
      <c r="K147" s="6">
        <v>0</v>
      </c>
      <c r="L147" s="6">
        <v>4.41</v>
      </c>
      <c r="M147" s="6">
        <v>4.41</v>
      </c>
      <c r="N147" s="6">
        <v>4.41</v>
      </c>
      <c r="O147" s="6">
        <v>4.41</v>
      </c>
      <c r="P147" s="6">
        <v>7</v>
      </c>
      <c r="Q147" s="4" t="s">
        <v>26</v>
      </c>
      <c r="R147" s="4">
        <v>0</v>
      </c>
      <c r="S147" s="6">
        <v>0</v>
      </c>
      <c r="T147" s="6">
        <v>2</v>
      </c>
      <c r="U147" s="6">
        <v>38</v>
      </c>
      <c r="V147" s="6">
        <f>IF(ISERROR(VLOOKUP($S$147,'TAR FIN'!$A$1:$O$85,15,0)),0,VLOOKUP($S$147,'TAR FIN'!$A$1:$O$85,15,0))</f>
        <v>0</v>
      </c>
      <c r="W147" s="6">
        <f>IF(ISERROR(VLOOKUP($T$147,'TAR FIN'!$A$1:$O$85,15,0)),0,VLOOKUP($T$147,'TAR FIN'!$A$1:$O$85,15,0))</f>
        <v>190.95</v>
      </c>
      <c r="X147" s="6">
        <f>IF(ISERROR(VLOOKUP($U$147,'TAR FIN'!$A$1:$O$85,15,0)),0,VLOOKUP($U$147,'TAR FIN'!$A$1:$O$85,15,0))</f>
        <v>41.99</v>
      </c>
      <c r="Y147" s="6"/>
      <c r="Z147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147" s="6">
        <f>('TE BE'!$AB$11+'TE BF'!$AB$11+'TE CVA'!$AB$11)*(1-CUSTOS!$M$34)</f>
        <v>42.905233056198526</v>
      </c>
      <c r="AB147" s="6">
        <f>$K$147*$V$147</f>
        <v>0</v>
      </c>
      <c r="AC147" s="6">
        <f>$M$147*$W$147</f>
        <v>842.08949999999993</v>
      </c>
      <c r="AD147" s="6">
        <f>$O$147*$X$147</f>
        <v>185.17590000000001</v>
      </c>
      <c r="AE147" s="6">
        <f>$K$147*$Y$147</f>
        <v>0</v>
      </c>
      <c r="AF147" s="6">
        <f ca="1">$M$147*$Z$147</f>
        <v>858.07208367209284</v>
      </c>
      <c r="AG147" s="6">
        <f>$O$147*$AA$147</f>
        <v>189.2120777778355</v>
      </c>
    </row>
    <row r="148" spans="1:33" ht="11.25" customHeight="1" x14ac:dyDescent="0.3">
      <c r="A148" s="4" t="s">
        <v>21</v>
      </c>
      <c r="B148" s="4" t="s">
        <v>22</v>
      </c>
      <c r="C148" s="4" t="s">
        <v>23</v>
      </c>
      <c r="D148" s="4" t="s">
        <v>24</v>
      </c>
      <c r="E148" s="4" t="s">
        <v>29</v>
      </c>
      <c r="F148" s="4" t="s">
        <v>25</v>
      </c>
      <c r="G148" s="4" t="s">
        <v>25</v>
      </c>
      <c r="H148" s="4" t="s">
        <v>25</v>
      </c>
      <c r="I148" s="5">
        <v>44621</v>
      </c>
      <c r="J148" s="6">
        <v>0</v>
      </c>
      <c r="K148" s="6">
        <v>0</v>
      </c>
      <c r="L148" s="6">
        <v>4.53</v>
      </c>
      <c r="M148" s="6">
        <v>4.53</v>
      </c>
      <c r="N148" s="6">
        <v>4.53</v>
      </c>
      <c r="O148" s="6">
        <v>4.53</v>
      </c>
      <c r="P148" s="6">
        <v>9</v>
      </c>
      <c r="Q148" s="4" t="s">
        <v>26</v>
      </c>
      <c r="R148" s="4">
        <v>0</v>
      </c>
      <c r="S148" s="6">
        <v>0</v>
      </c>
      <c r="T148" s="6">
        <v>2</v>
      </c>
      <c r="U148" s="6">
        <v>38</v>
      </c>
      <c r="V148" s="6">
        <f>IF(ISERROR(VLOOKUP($S$148,'TAR FIN'!$A$1:$O$85,15,0)),0,VLOOKUP($S$148,'TAR FIN'!$A$1:$O$85,15,0))</f>
        <v>0</v>
      </c>
      <c r="W148" s="6">
        <f>IF(ISERROR(VLOOKUP($T$148,'TAR FIN'!$A$1:$O$85,15,0)),0,VLOOKUP($T$148,'TAR FIN'!$A$1:$O$85,15,0))</f>
        <v>190.95</v>
      </c>
      <c r="X148" s="6">
        <f>IF(ISERROR(VLOOKUP($U$148,'TAR FIN'!$A$1:$O$85,15,0)),0,VLOOKUP($U$148,'TAR FIN'!$A$1:$O$85,15,0))</f>
        <v>41.99</v>
      </c>
      <c r="Y148" s="6"/>
      <c r="Z148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148" s="6">
        <f>('TE BE'!$AB$11+'TE BF'!$AB$11+'TE CVA'!$AB$11)*(1-CUSTOS!$M$34)</f>
        <v>42.905233056198526</v>
      </c>
      <c r="AB148" s="6">
        <f>$K$148*$V$148</f>
        <v>0</v>
      </c>
      <c r="AC148" s="6">
        <f>$M$148*$W$148</f>
        <v>865.00350000000003</v>
      </c>
      <c r="AD148" s="6">
        <f>$O$148*$X$148</f>
        <v>190.21470000000002</v>
      </c>
      <c r="AE148" s="6">
        <f>$K$148*$Y$148</f>
        <v>0</v>
      </c>
      <c r="AF148" s="6">
        <f ca="1">$M$148*$Z$148</f>
        <v>881.42098390806814</v>
      </c>
      <c r="AG148" s="6">
        <f>$O$148*$AA$148</f>
        <v>194.36070574457932</v>
      </c>
    </row>
    <row r="149" spans="1:33" ht="11.25" customHeight="1" x14ac:dyDescent="0.3">
      <c r="A149" s="4" t="s">
        <v>27</v>
      </c>
      <c r="B149" s="4" t="s">
        <v>22</v>
      </c>
      <c r="C149" s="4" t="s">
        <v>23</v>
      </c>
      <c r="D149" s="4" t="s">
        <v>24</v>
      </c>
      <c r="E149" s="4" t="s">
        <v>29</v>
      </c>
      <c r="F149" s="4" t="s">
        <v>25</v>
      </c>
      <c r="G149" s="4" t="s">
        <v>25</v>
      </c>
      <c r="H149" s="4" t="s">
        <v>25</v>
      </c>
      <c r="I149" s="5">
        <v>44621</v>
      </c>
      <c r="J149" s="6">
        <v>0</v>
      </c>
      <c r="K149" s="6">
        <v>0</v>
      </c>
      <c r="L149" s="6">
        <v>0.03</v>
      </c>
      <c r="M149" s="6">
        <v>0.03</v>
      </c>
      <c r="N149" s="6">
        <v>0.03</v>
      </c>
      <c r="O149" s="6">
        <v>0.03</v>
      </c>
      <c r="P149" s="6">
        <v>0</v>
      </c>
      <c r="Q149" s="4" t="s">
        <v>26</v>
      </c>
      <c r="R149" s="4">
        <v>0</v>
      </c>
      <c r="S149" s="6">
        <v>0</v>
      </c>
      <c r="T149" s="6">
        <v>2</v>
      </c>
      <c r="U149" s="6">
        <v>38</v>
      </c>
      <c r="V149" s="6">
        <f>IF(ISERROR(VLOOKUP($S$149,'TAR FIN'!$A$1:$O$85,15,0)),0,VLOOKUP($S$149,'TAR FIN'!$A$1:$O$85,15,0))</f>
        <v>0</v>
      </c>
      <c r="W149" s="6">
        <f>IF(ISERROR(VLOOKUP($T$149,'TAR FIN'!$A$1:$O$85,15,0)),0,VLOOKUP($T$149,'TAR FIN'!$A$1:$O$85,15,0))</f>
        <v>190.95</v>
      </c>
      <c r="X149" s="6">
        <f>IF(ISERROR(VLOOKUP($U$149,'TAR FIN'!$A$1:$O$85,15,0)),0,VLOOKUP($U$149,'TAR FIN'!$A$1:$O$85,15,0))</f>
        <v>41.99</v>
      </c>
      <c r="Y149" s="6"/>
      <c r="Z149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149" s="6">
        <f>('TE BE'!$AB$11+'TE BF'!$AB$11+'TE CVA'!$AB$11)*(1-CUSTOS!$M$34)</f>
        <v>42.905233056198526</v>
      </c>
      <c r="AB149" s="6">
        <f>$K$149*$V$149</f>
        <v>0</v>
      </c>
      <c r="AC149" s="6">
        <f>$M$149*$W$149</f>
        <v>5.7284999999999995</v>
      </c>
      <c r="AD149" s="6">
        <f>$O$149*$X$149</f>
        <v>1.2597</v>
      </c>
      <c r="AE149" s="6">
        <f>$K$149*$Y$149</f>
        <v>0</v>
      </c>
      <c r="AF149" s="6">
        <f ca="1">$M$149*$Z$149</f>
        <v>5.8372250589938286</v>
      </c>
      <c r="AG149" s="6">
        <f>$O$149*$AA$149</f>
        <v>1.2871569916859558</v>
      </c>
    </row>
    <row r="150" spans="1:33" ht="11.25" customHeight="1" x14ac:dyDescent="0.3">
      <c r="A150" s="4" t="s">
        <v>21</v>
      </c>
      <c r="B150" s="4" t="s">
        <v>22</v>
      </c>
      <c r="C150" s="4" t="s">
        <v>23</v>
      </c>
      <c r="D150" s="4" t="s">
        <v>24</v>
      </c>
      <c r="E150" s="4" t="s">
        <v>29</v>
      </c>
      <c r="F150" s="4" t="s">
        <v>25</v>
      </c>
      <c r="G150" s="4" t="s">
        <v>25</v>
      </c>
      <c r="H150" s="4" t="s">
        <v>25</v>
      </c>
      <c r="I150" s="5">
        <v>44652</v>
      </c>
      <c r="J150" s="6">
        <v>0</v>
      </c>
      <c r="K150" s="6">
        <v>0</v>
      </c>
      <c r="L150" s="6">
        <v>5.19</v>
      </c>
      <c r="M150" s="6">
        <v>5.19</v>
      </c>
      <c r="N150" s="6">
        <v>5.19</v>
      </c>
      <c r="O150" s="6">
        <v>5.19</v>
      </c>
      <c r="P150" s="6">
        <v>13</v>
      </c>
      <c r="Q150" s="4" t="s">
        <v>26</v>
      </c>
      <c r="R150" s="4">
        <v>0</v>
      </c>
      <c r="S150" s="6">
        <v>0</v>
      </c>
      <c r="T150" s="6">
        <v>2</v>
      </c>
      <c r="U150" s="6">
        <v>38</v>
      </c>
      <c r="V150" s="6">
        <f>IF(ISERROR(VLOOKUP($S$150,'TAR FIN'!$A$1:$O$85,15,0)),0,VLOOKUP($S$150,'TAR FIN'!$A$1:$O$85,15,0))</f>
        <v>0</v>
      </c>
      <c r="W150" s="6">
        <f>IF(ISERROR(VLOOKUP($T$150,'TAR FIN'!$A$1:$O$85,15,0)),0,VLOOKUP($T$150,'TAR FIN'!$A$1:$O$85,15,0))</f>
        <v>190.95</v>
      </c>
      <c r="X150" s="6">
        <f>IF(ISERROR(VLOOKUP($U$150,'TAR FIN'!$A$1:$O$85,15,0)),0,VLOOKUP($U$150,'TAR FIN'!$A$1:$O$85,15,0))</f>
        <v>41.99</v>
      </c>
      <c r="Y150" s="6"/>
      <c r="Z150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150" s="6">
        <f>('TE BE'!$AB$11+'TE BF'!$AB$11+'TE CVA'!$AB$11)*(1-CUSTOS!$M$34)</f>
        <v>42.905233056198526</v>
      </c>
      <c r="AB150" s="6">
        <f>$K$150*$V$150</f>
        <v>0</v>
      </c>
      <c r="AC150" s="6">
        <f>$M$150*$W$150</f>
        <v>991.03049999999996</v>
      </c>
      <c r="AD150" s="6">
        <f>$O$150*$X$150</f>
        <v>217.92810000000003</v>
      </c>
      <c r="AE150" s="6">
        <f>$K$150*$Y$150</f>
        <v>0</v>
      </c>
      <c r="AF150" s="6">
        <f ca="1">$M$150*$Z$150</f>
        <v>1009.8399352059324</v>
      </c>
      <c r="AG150" s="6">
        <f>$O$150*$AA$150</f>
        <v>222.67815956167036</v>
      </c>
    </row>
    <row r="151" spans="1:33" ht="11.25" customHeight="1" x14ac:dyDescent="0.3">
      <c r="A151" s="4" t="s">
        <v>21</v>
      </c>
      <c r="B151" s="4" t="s">
        <v>22</v>
      </c>
      <c r="C151" s="4" t="s">
        <v>23</v>
      </c>
      <c r="D151" s="4" t="s">
        <v>24</v>
      </c>
      <c r="E151" s="4" t="s">
        <v>29</v>
      </c>
      <c r="F151" s="4" t="s">
        <v>25</v>
      </c>
      <c r="G151" s="4" t="s">
        <v>25</v>
      </c>
      <c r="H151" s="4" t="s">
        <v>25</v>
      </c>
      <c r="I151" s="5">
        <v>44682</v>
      </c>
      <c r="J151" s="6">
        <v>0</v>
      </c>
      <c r="K151" s="6">
        <v>0</v>
      </c>
      <c r="L151" s="6">
        <v>5.58</v>
      </c>
      <c r="M151" s="6">
        <v>5.58</v>
      </c>
      <c r="N151" s="6">
        <v>5.58</v>
      </c>
      <c r="O151" s="6">
        <v>5.58</v>
      </c>
      <c r="P151" s="6">
        <v>15</v>
      </c>
      <c r="Q151" s="4" t="s">
        <v>26</v>
      </c>
      <c r="R151" s="4">
        <v>0</v>
      </c>
      <c r="S151" s="6">
        <v>0</v>
      </c>
      <c r="T151" s="6">
        <v>2</v>
      </c>
      <c r="U151" s="6">
        <v>38</v>
      </c>
      <c r="V151" s="6">
        <f>IF(ISERROR(VLOOKUP($S$151,'TAR FIN'!$A$1:$O$85,15,0)),0,VLOOKUP($S$151,'TAR FIN'!$A$1:$O$85,15,0))</f>
        <v>0</v>
      </c>
      <c r="W151" s="6">
        <f>IF(ISERROR(VLOOKUP($T$151,'TAR FIN'!$A$1:$O$85,15,0)),0,VLOOKUP($T$151,'TAR FIN'!$A$1:$O$85,15,0))</f>
        <v>190.95</v>
      </c>
      <c r="X151" s="6">
        <f>IF(ISERROR(VLOOKUP($U$151,'TAR FIN'!$A$1:$O$85,15,0)),0,VLOOKUP($U$151,'TAR FIN'!$A$1:$O$85,15,0))</f>
        <v>41.99</v>
      </c>
      <c r="Y151" s="6"/>
      <c r="Z151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151" s="6">
        <f>('TE BE'!$AB$11+'TE BF'!$AB$11+'TE CVA'!$AB$11)*(1-CUSTOS!$M$34)</f>
        <v>42.905233056198526</v>
      </c>
      <c r="AB151" s="6">
        <f>$K$151*$V$151</f>
        <v>0</v>
      </c>
      <c r="AC151" s="6">
        <f>$M$151*$W$151</f>
        <v>1065.501</v>
      </c>
      <c r="AD151" s="6">
        <f>$O$151*$X$151</f>
        <v>234.30420000000001</v>
      </c>
      <c r="AE151" s="6">
        <f>$K$151*$Y$151</f>
        <v>0</v>
      </c>
      <c r="AF151" s="6">
        <f ca="1">$M$151*$Z$151</f>
        <v>1085.723860972852</v>
      </c>
      <c r="AG151" s="6">
        <f>$O$151*$AA$151</f>
        <v>239.41120045358778</v>
      </c>
    </row>
    <row r="152" spans="1:33" ht="11.25" customHeight="1" x14ac:dyDescent="0.3">
      <c r="A152" s="4" t="s">
        <v>21</v>
      </c>
      <c r="B152" s="4" t="s">
        <v>22</v>
      </c>
      <c r="C152" s="4" t="s">
        <v>23</v>
      </c>
      <c r="D152" s="4" t="s">
        <v>24</v>
      </c>
      <c r="E152" s="4" t="s">
        <v>29</v>
      </c>
      <c r="F152" s="4" t="s">
        <v>25</v>
      </c>
      <c r="G152" s="4" t="s">
        <v>25</v>
      </c>
      <c r="H152" s="4" t="s">
        <v>25</v>
      </c>
      <c r="I152" s="5">
        <v>44713</v>
      </c>
      <c r="J152" s="6">
        <v>0</v>
      </c>
      <c r="K152" s="6">
        <v>0</v>
      </c>
      <c r="L152" s="6">
        <v>5.58</v>
      </c>
      <c r="M152" s="6">
        <v>5.58</v>
      </c>
      <c r="N152" s="6">
        <v>5.58</v>
      </c>
      <c r="O152" s="6">
        <v>5.58</v>
      </c>
      <c r="P152" s="6">
        <v>14</v>
      </c>
      <c r="Q152" s="4" t="s">
        <v>26</v>
      </c>
      <c r="R152" s="4">
        <v>0</v>
      </c>
      <c r="S152" s="6">
        <v>0</v>
      </c>
      <c r="T152" s="6">
        <v>2</v>
      </c>
      <c r="U152" s="6">
        <v>38</v>
      </c>
      <c r="V152" s="6">
        <f>IF(ISERROR(VLOOKUP($S$152,'TAR FIN'!$A$1:$O$85,15,0)),0,VLOOKUP($S$152,'TAR FIN'!$A$1:$O$85,15,0))</f>
        <v>0</v>
      </c>
      <c r="W152" s="6">
        <f>IF(ISERROR(VLOOKUP($T$152,'TAR FIN'!$A$1:$O$85,15,0)),0,VLOOKUP($T$152,'TAR FIN'!$A$1:$O$85,15,0))</f>
        <v>190.95</v>
      </c>
      <c r="X152" s="6">
        <f>IF(ISERROR(VLOOKUP($U$152,'TAR FIN'!$A$1:$O$85,15,0)),0,VLOOKUP($U$152,'TAR FIN'!$A$1:$O$85,15,0))</f>
        <v>41.99</v>
      </c>
      <c r="Y152" s="6"/>
      <c r="Z152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152" s="6">
        <f>('TE BE'!$AB$11+'TE BF'!$AB$11+'TE CVA'!$AB$11)*(1-CUSTOS!$M$34)</f>
        <v>42.905233056198526</v>
      </c>
      <c r="AB152" s="6">
        <f>$K$152*$V$152</f>
        <v>0</v>
      </c>
      <c r="AC152" s="6">
        <f>$M$152*$W$152</f>
        <v>1065.501</v>
      </c>
      <c r="AD152" s="6">
        <f>$O$152*$X$152</f>
        <v>234.30420000000001</v>
      </c>
      <c r="AE152" s="6">
        <f>$K$152*$Y$152</f>
        <v>0</v>
      </c>
      <c r="AF152" s="6">
        <f ca="1">$M$152*$Z$152</f>
        <v>1085.723860972852</v>
      </c>
      <c r="AG152" s="6">
        <f>$O$152*$AA$152</f>
        <v>239.41120045358778</v>
      </c>
    </row>
    <row r="153" spans="1:33" ht="11.25" customHeight="1" x14ac:dyDescent="0.3">
      <c r="A153" s="4" t="s">
        <v>21</v>
      </c>
      <c r="B153" s="4" t="s">
        <v>22</v>
      </c>
      <c r="C153" s="4" t="s">
        <v>23</v>
      </c>
      <c r="D153" s="4" t="s">
        <v>24</v>
      </c>
      <c r="E153" s="4" t="s">
        <v>29</v>
      </c>
      <c r="F153" s="4" t="s">
        <v>25</v>
      </c>
      <c r="G153" s="4" t="s">
        <v>25</v>
      </c>
      <c r="H153" s="4" t="s">
        <v>25</v>
      </c>
      <c r="I153" s="5">
        <v>44743</v>
      </c>
      <c r="J153" s="6">
        <v>0</v>
      </c>
      <c r="K153" s="6">
        <v>0</v>
      </c>
      <c r="L153" s="6">
        <v>5.52</v>
      </c>
      <c r="M153" s="6">
        <v>5.52</v>
      </c>
      <c r="N153" s="6">
        <v>5.52</v>
      </c>
      <c r="O153" s="6">
        <v>5.52</v>
      </c>
      <c r="P153" s="6">
        <v>12</v>
      </c>
      <c r="Q153" s="4" t="s">
        <v>26</v>
      </c>
      <c r="R153" s="4">
        <v>0</v>
      </c>
      <c r="S153" s="6">
        <v>0</v>
      </c>
      <c r="T153" s="6">
        <v>2</v>
      </c>
      <c r="U153" s="6">
        <v>38</v>
      </c>
      <c r="V153" s="6">
        <f>IF(ISERROR(VLOOKUP($S$153,'TAR FIN'!$A$1:$O$85,15,0)),0,VLOOKUP($S$153,'TAR FIN'!$A$1:$O$85,15,0))</f>
        <v>0</v>
      </c>
      <c r="W153" s="6">
        <f>IF(ISERROR(VLOOKUP($T$153,'TAR FIN'!$A$1:$O$85,15,0)),0,VLOOKUP($T$153,'TAR FIN'!$A$1:$O$85,15,0))</f>
        <v>190.95</v>
      </c>
      <c r="X153" s="6">
        <f>IF(ISERROR(VLOOKUP($U$153,'TAR FIN'!$A$1:$O$85,15,0)),0,VLOOKUP($U$153,'TAR FIN'!$A$1:$O$85,15,0))</f>
        <v>41.99</v>
      </c>
      <c r="Y153" s="6"/>
      <c r="Z153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153" s="6">
        <f>('TE BE'!$AB$11+'TE BF'!$AB$11+'TE CVA'!$AB$11)*(1-CUSTOS!$M$34)</f>
        <v>42.905233056198526</v>
      </c>
      <c r="AB153" s="6">
        <f>$K$153*$V$153</f>
        <v>0</v>
      </c>
      <c r="AC153" s="6">
        <f>$M$153*$W$153</f>
        <v>1054.0439999999999</v>
      </c>
      <c r="AD153" s="6">
        <f>$O$153*$X$153</f>
        <v>231.78479999999999</v>
      </c>
      <c r="AE153" s="6">
        <f>$K$153*$Y$153</f>
        <v>0</v>
      </c>
      <c r="AF153" s="6">
        <f ca="1">$M$153*$Z$153</f>
        <v>1074.0494108548644</v>
      </c>
      <c r="AG153" s="6">
        <f>$O$153*$AA$153</f>
        <v>236.83688647021583</v>
      </c>
    </row>
    <row r="154" spans="1:33" ht="11.25" customHeight="1" x14ac:dyDescent="0.3">
      <c r="A154" s="4" t="s">
        <v>52</v>
      </c>
      <c r="B154" s="4" t="s">
        <v>22</v>
      </c>
      <c r="C154" s="4" t="s">
        <v>23</v>
      </c>
      <c r="D154" s="4" t="s">
        <v>24</v>
      </c>
      <c r="E154" s="4" t="s">
        <v>29</v>
      </c>
      <c r="F154" s="4" t="s">
        <v>25</v>
      </c>
      <c r="G154" s="4" t="s">
        <v>25</v>
      </c>
      <c r="H154" s="4" t="s">
        <v>25</v>
      </c>
      <c r="I154" s="5">
        <v>44774</v>
      </c>
      <c r="J154" s="6">
        <v>0</v>
      </c>
      <c r="K154" s="6">
        <v>0</v>
      </c>
      <c r="L154" s="6">
        <v>5.52</v>
      </c>
      <c r="M154" s="6">
        <v>5.52</v>
      </c>
      <c r="N154" s="6">
        <v>5.52</v>
      </c>
      <c r="O154" s="6">
        <v>5.52</v>
      </c>
      <c r="P154" s="6">
        <v>12</v>
      </c>
      <c r="Q154" s="4" t="s">
        <v>26</v>
      </c>
      <c r="R154" s="4">
        <v>0</v>
      </c>
      <c r="S154" s="6">
        <v>0</v>
      </c>
      <c r="T154" s="6">
        <v>2</v>
      </c>
      <c r="U154" s="6">
        <v>38</v>
      </c>
      <c r="V154" s="6">
        <f>IF(ISERROR(VLOOKUP($S$154,'TAR FIN'!$A$1:$O$85,15,0)),0,VLOOKUP($S$154,'TAR FIN'!$A$1:$O$85,15,0))</f>
        <v>0</v>
      </c>
      <c r="W154" s="6">
        <f>IF(ISERROR(VLOOKUP($T$154,'TAR FIN'!$A$1:$O$85,15,0)),0,VLOOKUP($T$154,'TAR FIN'!$A$1:$O$85,15,0))</f>
        <v>190.95</v>
      </c>
      <c r="X154" s="6">
        <f>IF(ISERROR(VLOOKUP($U$154,'TAR FIN'!$A$1:$O$85,15,0)),0,VLOOKUP($U$154,'TAR FIN'!$A$1:$O$85,15,0))</f>
        <v>41.99</v>
      </c>
      <c r="Y154" s="6"/>
      <c r="Z154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154" s="6">
        <f>('TE BE'!$AB$11+'TE BF'!$AB$11+'TE CVA'!$AB$11)*(1-CUSTOS!$M$34)</f>
        <v>42.905233056198526</v>
      </c>
      <c r="AB154" s="6">
        <f>$K$154*$V$154</f>
        <v>0</v>
      </c>
      <c r="AC154" s="6">
        <f>$M$154*$W$154</f>
        <v>1054.0439999999999</v>
      </c>
      <c r="AD154" s="6">
        <f>$O$154*$X$154</f>
        <v>231.78479999999999</v>
      </c>
      <c r="AE154" s="6">
        <f>$K$154*$Y$154</f>
        <v>0</v>
      </c>
      <c r="AF154" s="6">
        <f ca="1">$M$154*$Z$154</f>
        <v>1074.0494108548644</v>
      </c>
      <c r="AG154" s="6">
        <f>$O$154*$AA$154</f>
        <v>236.83688647021583</v>
      </c>
    </row>
    <row r="155" spans="1:33" ht="11.25" customHeight="1" x14ac:dyDescent="0.3">
      <c r="A155" s="4" t="s">
        <v>21</v>
      </c>
      <c r="B155" s="4" t="s">
        <v>22</v>
      </c>
      <c r="C155" s="4" t="s">
        <v>23</v>
      </c>
      <c r="D155" s="4" t="s">
        <v>24</v>
      </c>
      <c r="E155" s="4" t="s">
        <v>30</v>
      </c>
      <c r="F155" s="4" t="s">
        <v>25</v>
      </c>
      <c r="G155" s="4" t="s">
        <v>25</v>
      </c>
      <c r="H155" s="4" t="s">
        <v>25</v>
      </c>
      <c r="I155" s="5">
        <v>44440</v>
      </c>
      <c r="J155" s="6">
        <v>0</v>
      </c>
      <c r="K155" s="6">
        <v>0</v>
      </c>
      <c r="L155" s="6">
        <v>7.4210000000000003</v>
      </c>
      <c r="M155" s="6">
        <v>7.4210000000000003</v>
      </c>
      <c r="N155" s="6">
        <v>7.4210000000000003</v>
      </c>
      <c r="O155" s="6">
        <v>7.4210000000000003</v>
      </c>
      <c r="P155" s="6">
        <v>28</v>
      </c>
      <c r="Q155" s="4" t="s">
        <v>26</v>
      </c>
      <c r="R155" s="4">
        <v>0</v>
      </c>
      <c r="S155" s="6">
        <v>0</v>
      </c>
      <c r="T155" s="6">
        <v>4</v>
      </c>
      <c r="U155" s="6">
        <v>55</v>
      </c>
      <c r="V155" s="6">
        <f>IF(ISERROR(VLOOKUP($S$155,'TAR FIN'!$A$1:$O$85,15,0)),0,VLOOKUP($S$155,'TAR FIN'!$A$1:$O$85,15,0))</f>
        <v>0</v>
      </c>
      <c r="W155" s="6">
        <f>IF(ISERROR(VLOOKUP($T$155,'TAR FIN'!$A$1:$O$85,15,0)),0,VLOOKUP($T$155,'TAR FIN'!$A$1:$O$85,15,0))</f>
        <v>327.33999999999997</v>
      </c>
      <c r="X155" s="6">
        <f>IF(ISERROR(VLOOKUP($U$155,'TAR FIN'!$A$1:$O$85,15,0)),0,VLOOKUP($U$155,'TAR FIN'!$A$1:$O$85,15,0))</f>
        <v>71.98</v>
      </c>
      <c r="Y155" s="6"/>
      <c r="Z155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155" s="6">
        <f>('TE BE'!$AB$12+'TE BF'!$AB$12+'TE CVA'!$AB$12)*(1-CUSTOS!$M$35)</f>
        <v>73.55182809634033</v>
      </c>
      <c r="AB155" s="6">
        <f>$K$155*$V$155</f>
        <v>0</v>
      </c>
      <c r="AC155" s="6">
        <f>$M$155*$W$155</f>
        <v>2429.1901399999997</v>
      </c>
      <c r="AD155" s="6">
        <f>$O$155*$X$155</f>
        <v>534.16358000000002</v>
      </c>
      <c r="AE155" s="6">
        <f>$K$155*$Y$155</f>
        <v>0</v>
      </c>
      <c r="AF155" s="6">
        <f ca="1">$M$155*$Z$155</f>
        <v>2475.3169807310401</v>
      </c>
      <c r="AG155" s="6">
        <f>$O$155*$AA$155</f>
        <v>545.82811630294157</v>
      </c>
    </row>
    <row r="156" spans="1:33" ht="11.25" customHeight="1" x14ac:dyDescent="0.3">
      <c r="A156" s="4" t="s">
        <v>21</v>
      </c>
      <c r="B156" s="4" t="s">
        <v>22</v>
      </c>
      <c r="C156" s="4" t="s">
        <v>23</v>
      </c>
      <c r="D156" s="4" t="s">
        <v>24</v>
      </c>
      <c r="E156" s="4" t="s">
        <v>30</v>
      </c>
      <c r="F156" s="4" t="s">
        <v>25</v>
      </c>
      <c r="G156" s="4" t="s">
        <v>25</v>
      </c>
      <c r="H156" s="4" t="s">
        <v>25</v>
      </c>
      <c r="I156" s="5">
        <v>44470</v>
      </c>
      <c r="J156" s="6">
        <v>0</v>
      </c>
      <c r="K156" s="6">
        <v>0</v>
      </c>
      <c r="L156" s="6">
        <v>8.0079999999999991</v>
      </c>
      <c r="M156" s="6">
        <v>8.0079999999999991</v>
      </c>
      <c r="N156" s="6">
        <v>8.0079999999999991</v>
      </c>
      <c r="O156" s="6">
        <v>8.0079999999999991</v>
      </c>
      <c r="P156" s="6">
        <v>30</v>
      </c>
      <c r="Q156" s="4" t="s">
        <v>26</v>
      </c>
      <c r="R156" s="4">
        <v>0</v>
      </c>
      <c r="S156" s="6">
        <v>0</v>
      </c>
      <c r="T156" s="6">
        <v>4</v>
      </c>
      <c r="U156" s="6">
        <v>55</v>
      </c>
      <c r="V156" s="6">
        <f>IF(ISERROR(VLOOKUP($S$156,'TAR FIN'!$A$1:$O$85,15,0)),0,VLOOKUP($S$156,'TAR FIN'!$A$1:$O$85,15,0))</f>
        <v>0</v>
      </c>
      <c r="W156" s="6">
        <f>IF(ISERROR(VLOOKUP($T$156,'TAR FIN'!$A$1:$O$85,15,0)),0,VLOOKUP($T$156,'TAR FIN'!$A$1:$O$85,15,0))</f>
        <v>327.33999999999997</v>
      </c>
      <c r="X156" s="6">
        <f>IF(ISERROR(VLOOKUP($U$156,'TAR FIN'!$A$1:$O$85,15,0)),0,VLOOKUP($U$156,'TAR FIN'!$A$1:$O$85,15,0))</f>
        <v>71.98</v>
      </c>
      <c r="Y156" s="6"/>
      <c r="Z156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156" s="6">
        <f>('TE BE'!$AB$12+'TE BF'!$AB$12+'TE CVA'!$AB$12)*(1-CUSTOS!$M$35)</f>
        <v>73.55182809634033</v>
      </c>
      <c r="AB156" s="6">
        <f>$K$156*$V$156</f>
        <v>0</v>
      </c>
      <c r="AC156" s="6">
        <f>$M$156*$W$156</f>
        <v>2621.3387199999993</v>
      </c>
      <c r="AD156" s="6">
        <f>$O$156*$X$156</f>
        <v>576.41584</v>
      </c>
      <c r="AE156" s="6">
        <f>$K$156*$Y$156</f>
        <v>0</v>
      </c>
      <c r="AF156" s="6">
        <f ca="1">$M$156*$Z$156</f>
        <v>2671.1141869955754</v>
      </c>
      <c r="AG156" s="6">
        <f>$O$156*$AA$156</f>
        <v>589.00303939549326</v>
      </c>
    </row>
    <row r="157" spans="1:33" ht="11.25" customHeight="1" x14ac:dyDescent="0.3">
      <c r="A157" s="4" t="s">
        <v>21</v>
      </c>
      <c r="B157" s="4" t="s">
        <v>22</v>
      </c>
      <c r="C157" s="4" t="s">
        <v>23</v>
      </c>
      <c r="D157" s="4" t="s">
        <v>24</v>
      </c>
      <c r="E157" s="4" t="s">
        <v>30</v>
      </c>
      <c r="F157" s="4" t="s">
        <v>25</v>
      </c>
      <c r="G157" s="4" t="s">
        <v>25</v>
      </c>
      <c r="H157" s="4" t="s">
        <v>25</v>
      </c>
      <c r="I157" s="5">
        <v>44501</v>
      </c>
      <c r="J157" s="6">
        <v>0</v>
      </c>
      <c r="K157" s="6">
        <v>0</v>
      </c>
      <c r="L157" s="6">
        <v>8.048</v>
      </c>
      <c r="M157" s="6">
        <v>8.048</v>
      </c>
      <c r="N157" s="6">
        <v>8.048</v>
      </c>
      <c r="O157" s="6">
        <v>8.048</v>
      </c>
      <c r="P157" s="6">
        <v>31</v>
      </c>
      <c r="Q157" s="4" t="s">
        <v>26</v>
      </c>
      <c r="R157" s="4">
        <v>0</v>
      </c>
      <c r="S157" s="6">
        <v>0</v>
      </c>
      <c r="T157" s="6">
        <v>4</v>
      </c>
      <c r="U157" s="6">
        <v>55</v>
      </c>
      <c r="V157" s="6">
        <f>IF(ISERROR(VLOOKUP($S$157,'TAR FIN'!$A$1:$O$85,15,0)),0,VLOOKUP($S$157,'TAR FIN'!$A$1:$O$85,15,0))</f>
        <v>0</v>
      </c>
      <c r="W157" s="6">
        <f>IF(ISERROR(VLOOKUP($T$157,'TAR FIN'!$A$1:$O$85,15,0)),0,VLOOKUP($T$157,'TAR FIN'!$A$1:$O$85,15,0))</f>
        <v>327.33999999999997</v>
      </c>
      <c r="X157" s="6">
        <f>IF(ISERROR(VLOOKUP($U$157,'TAR FIN'!$A$1:$O$85,15,0)),0,VLOOKUP($U$157,'TAR FIN'!$A$1:$O$85,15,0))</f>
        <v>71.98</v>
      </c>
      <c r="Y157" s="6"/>
      <c r="Z157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157" s="6">
        <f>('TE BE'!$AB$12+'TE BF'!$AB$12+'TE CVA'!$AB$12)*(1-CUSTOS!$M$35)</f>
        <v>73.55182809634033</v>
      </c>
      <c r="AB157" s="6">
        <f>$K$157*$V$157</f>
        <v>0</v>
      </c>
      <c r="AC157" s="6">
        <f>$M$157*$W$157</f>
        <v>2634.4323199999999</v>
      </c>
      <c r="AD157" s="6">
        <f>$O$157*$X$157</f>
        <v>579.29504000000009</v>
      </c>
      <c r="AE157" s="6">
        <f>$K$157*$Y$157</f>
        <v>0</v>
      </c>
      <c r="AF157" s="6">
        <f ca="1">$M$157*$Z$157</f>
        <v>2684.4564157018476</v>
      </c>
      <c r="AG157" s="6">
        <f>$O$157*$AA$157</f>
        <v>591.94511251934694</v>
      </c>
    </row>
    <row r="158" spans="1:33" ht="11.25" customHeight="1" x14ac:dyDescent="0.3">
      <c r="A158" s="4" t="s">
        <v>21</v>
      </c>
      <c r="B158" s="4" t="s">
        <v>22</v>
      </c>
      <c r="C158" s="4" t="s">
        <v>23</v>
      </c>
      <c r="D158" s="4" t="s">
        <v>24</v>
      </c>
      <c r="E158" s="4" t="s">
        <v>30</v>
      </c>
      <c r="F158" s="4" t="s">
        <v>25</v>
      </c>
      <c r="G158" s="4" t="s">
        <v>25</v>
      </c>
      <c r="H158" s="4" t="s">
        <v>25</v>
      </c>
      <c r="I158" s="5">
        <v>44531</v>
      </c>
      <c r="J158" s="6">
        <v>0</v>
      </c>
      <c r="K158" s="6">
        <v>0</v>
      </c>
      <c r="L158" s="6">
        <v>8.4770000000000003</v>
      </c>
      <c r="M158" s="6">
        <v>8.4770000000000003</v>
      </c>
      <c r="N158" s="6">
        <v>8.4770000000000003</v>
      </c>
      <c r="O158" s="6">
        <v>8.4770000000000003</v>
      </c>
      <c r="P158" s="6">
        <v>27</v>
      </c>
      <c r="Q158" s="4" t="s">
        <v>26</v>
      </c>
      <c r="R158" s="4">
        <v>0</v>
      </c>
      <c r="S158" s="6">
        <v>0</v>
      </c>
      <c r="T158" s="6">
        <v>4</v>
      </c>
      <c r="U158" s="6">
        <v>55</v>
      </c>
      <c r="V158" s="6">
        <f>IF(ISERROR(VLOOKUP($S$158,'TAR FIN'!$A$1:$O$85,15,0)),0,VLOOKUP($S$158,'TAR FIN'!$A$1:$O$85,15,0))</f>
        <v>0</v>
      </c>
      <c r="W158" s="6">
        <f>IF(ISERROR(VLOOKUP($T$158,'TAR FIN'!$A$1:$O$85,15,0)),0,VLOOKUP($T$158,'TAR FIN'!$A$1:$O$85,15,0))</f>
        <v>327.33999999999997</v>
      </c>
      <c r="X158" s="6">
        <f>IF(ISERROR(VLOOKUP($U$158,'TAR FIN'!$A$1:$O$85,15,0)),0,VLOOKUP($U$158,'TAR FIN'!$A$1:$O$85,15,0))</f>
        <v>71.98</v>
      </c>
      <c r="Y158" s="6"/>
      <c r="Z158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158" s="6">
        <f>('TE BE'!$AB$12+'TE BF'!$AB$12+'TE CVA'!$AB$12)*(1-CUSTOS!$M$35)</f>
        <v>73.55182809634033</v>
      </c>
      <c r="AB158" s="6">
        <f>$K$158*$V$158</f>
        <v>0</v>
      </c>
      <c r="AC158" s="6">
        <f>$M$158*$W$158</f>
        <v>2774.8611799999999</v>
      </c>
      <c r="AD158" s="6">
        <f>$O$158*$X$158</f>
        <v>610.17446000000007</v>
      </c>
      <c r="AE158" s="6">
        <f>$K$158*$Y$158</f>
        <v>0</v>
      </c>
      <c r="AF158" s="6">
        <f ca="1">$M$158*$Z$158</f>
        <v>2827.5518185766105</v>
      </c>
      <c r="AG158" s="6">
        <f>$O$158*$AA$158</f>
        <v>623.49884677267698</v>
      </c>
    </row>
    <row r="159" spans="1:33" ht="11.25" customHeight="1" x14ac:dyDescent="0.3">
      <c r="A159" s="4" t="s">
        <v>21</v>
      </c>
      <c r="B159" s="4" t="s">
        <v>22</v>
      </c>
      <c r="C159" s="4" t="s">
        <v>23</v>
      </c>
      <c r="D159" s="4" t="s">
        <v>24</v>
      </c>
      <c r="E159" s="4" t="s">
        <v>30</v>
      </c>
      <c r="F159" s="4" t="s">
        <v>25</v>
      </c>
      <c r="G159" s="4" t="s">
        <v>25</v>
      </c>
      <c r="H159" s="4" t="s">
        <v>25</v>
      </c>
      <c r="I159" s="5">
        <v>44562</v>
      </c>
      <c r="J159" s="6">
        <v>0</v>
      </c>
      <c r="K159" s="6">
        <v>0</v>
      </c>
      <c r="L159" s="6">
        <v>8.7029999999999994</v>
      </c>
      <c r="M159" s="6">
        <v>8.7029999999999994</v>
      </c>
      <c r="N159" s="6">
        <v>8.7029999999999994</v>
      </c>
      <c r="O159" s="6">
        <v>8.7029999999999994</v>
      </c>
      <c r="P159" s="6">
        <v>23</v>
      </c>
      <c r="Q159" s="4" t="s">
        <v>26</v>
      </c>
      <c r="R159" s="4">
        <v>0</v>
      </c>
      <c r="S159" s="6">
        <v>0</v>
      </c>
      <c r="T159" s="6">
        <v>4</v>
      </c>
      <c r="U159" s="6">
        <v>55</v>
      </c>
      <c r="V159" s="6">
        <f>IF(ISERROR(VLOOKUP($S$159,'TAR FIN'!$A$1:$O$85,15,0)),0,VLOOKUP($S$159,'TAR FIN'!$A$1:$O$85,15,0))</f>
        <v>0</v>
      </c>
      <c r="W159" s="6">
        <f>IF(ISERROR(VLOOKUP($T$159,'TAR FIN'!$A$1:$O$85,15,0)),0,VLOOKUP($T$159,'TAR FIN'!$A$1:$O$85,15,0))</f>
        <v>327.33999999999997</v>
      </c>
      <c r="X159" s="6">
        <f>IF(ISERROR(VLOOKUP($U$159,'TAR FIN'!$A$1:$O$85,15,0)),0,VLOOKUP($U$159,'TAR FIN'!$A$1:$O$85,15,0))</f>
        <v>71.98</v>
      </c>
      <c r="Y159" s="6"/>
      <c r="Z159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159" s="6">
        <f>('TE BE'!$AB$12+'TE BF'!$AB$12+'TE CVA'!$AB$12)*(1-CUSTOS!$M$35)</f>
        <v>73.55182809634033</v>
      </c>
      <c r="AB159" s="6">
        <f>$K$159*$V$159</f>
        <v>0</v>
      </c>
      <c r="AC159" s="6">
        <f>$M$159*$W$159</f>
        <v>2848.8400199999996</v>
      </c>
      <c r="AD159" s="6">
        <f>$O$159*$X$159</f>
        <v>626.44194000000005</v>
      </c>
      <c r="AE159" s="6">
        <f>$K$159*$Y$159</f>
        <v>0</v>
      </c>
      <c r="AF159" s="6">
        <f ca="1">$M$159*$Z$159</f>
        <v>2902.9354107670447</v>
      </c>
      <c r="AG159" s="6">
        <f>$O$159*$AA$159</f>
        <v>640.12155992244982</v>
      </c>
    </row>
    <row r="160" spans="1:33" ht="11.25" customHeight="1" x14ac:dyDescent="0.3">
      <c r="A160" s="4" t="s">
        <v>21</v>
      </c>
      <c r="B160" s="4" t="s">
        <v>22</v>
      </c>
      <c r="C160" s="4" t="s">
        <v>23</v>
      </c>
      <c r="D160" s="4" t="s">
        <v>24</v>
      </c>
      <c r="E160" s="4" t="s">
        <v>30</v>
      </c>
      <c r="F160" s="4" t="s">
        <v>25</v>
      </c>
      <c r="G160" s="4" t="s">
        <v>25</v>
      </c>
      <c r="H160" s="4" t="s">
        <v>25</v>
      </c>
      <c r="I160" s="5">
        <v>44593</v>
      </c>
      <c r="J160" s="6">
        <v>0</v>
      </c>
      <c r="K160" s="6">
        <v>0</v>
      </c>
      <c r="L160" s="6">
        <v>9.3819999999999997</v>
      </c>
      <c r="M160" s="6">
        <v>9.3819999999999997</v>
      </c>
      <c r="N160" s="6">
        <v>9.3819999999999997</v>
      </c>
      <c r="O160" s="6">
        <v>9.3819999999999997</v>
      </c>
      <c r="P160" s="6">
        <v>17</v>
      </c>
      <c r="Q160" s="4" t="s">
        <v>26</v>
      </c>
      <c r="R160" s="4">
        <v>0</v>
      </c>
      <c r="S160" s="6">
        <v>0</v>
      </c>
      <c r="T160" s="6">
        <v>4</v>
      </c>
      <c r="U160" s="6">
        <v>55</v>
      </c>
      <c r="V160" s="6">
        <f>IF(ISERROR(VLOOKUP($S$160,'TAR FIN'!$A$1:$O$85,15,0)),0,VLOOKUP($S$160,'TAR FIN'!$A$1:$O$85,15,0))</f>
        <v>0</v>
      </c>
      <c r="W160" s="6">
        <f>IF(ISERROR(VLOOKUP($T$160,'TAR FIN'!$A$1:$O$85,15,0)),0,VLOOKUP($T$160,'TAR FIN'!$A$1:$O$85,15,0))</f>
        <v>327.33999999999997</v>
      </c>
      <c r="X160" s="6">
        <f>IF(ISERROR(VLOOKUP($U$160,'TAR FIN'!$A$1:$O$85,15,0)),0,VLOOKUP($U$160,'TAR FIN'!$A$1:$O$85,15,0))</f>
        <v>71.98</v>
      </c>
      <c r="Y160" s="6"/>
      <c r="Z160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160" s="6">
        <f>('TE BE'!$AB$12+'TE BF'!$AB$12+'TE CVA'!$AB$12)*(1-CUSTOS!$M$35)</f>
        <v>73.55182809634033</v>
      </c>
      <c r="AB160" s="6">
        <f>$K$160*$V$160</f>
        <v>0</v>
      </c>
      <c r="AC160" s="6">
        <f>$M$160*$W$160</f>
        <v>3071.1038799999997</v>
      </c>
      <c r="AD160" s="6">
        <f>$O$160*$X$160</f>
        <v>675.31636000000003</v>
      </c>
      <c r="AE160" s="6">
        <f>$K$160*$Y$160</f>
        <v>0</v>
      </c>
      <c r="AF160" s="6">
        <f ca="1">$M$160*$Z$160</f>
        <v>3129.4197430560057</v>
      </c>
      <c r="AG160" s="6">
        <f>$O$160*$AA$160</f>
        <v>690.06325119986491</v>
      </c>
    </row>
    <row r="161" spans="1:33" ht="11.25" customHeight="1" x14ac:dyDescent="0.3">
      <c r="A161" s="4" t="s">
        <v>21</v>
      </c>
      <c r="B161" s="4" t="s">
        <v>22</v>
      </c>
      <c r="C161" s="4" t="s">
        <v>23</v>
      </c>
      <c r="D161" s="4" t="s">
        <v>24</v>
      </c>
      <c r="E161" s="4" t="s">
        <v>30</v>
      </c>
      <c r="F161" s="4" t="s">
        <v>25</v>
      </c>
      <c r="G161" s="4" t="s">
        <v>25</v>
      </c>
      <c r="H161" s="4" t="s">
        <v>25</v>
      </c>
      <c r="I161" s="5">
        <v>44621</v>
      </c>
      <c r="J161" s="6">
        <v>0</v>
      </c>
      <c r="K161" s="6">
        <v>0</v>
      </c>
      <c r="L161" s="6">
        <v>9.3979999999999997</v>
      </c>
      <c r="M161" s="6">
        <v>9.3979999999999997</v>
      </c>
      <c r="N161" s="6">
        <v>9.3979999999999997</v>
      </c>
      <c r="O161" s="6">
        <v>9.3979999999999997</v>
      </c>
      <c r="P161" s="6">
        <v>20</v>
      </c>
      <c r="Q161" s="4" t="s">
        <v>26</v>
      </c>
      <c r="R161" s="4">
        <v>0</v>
      </c>
      <c r="S161" s="6">
        <v>0</v>
      </c>
      <c r="T161" s="6">
        <v>4</v>
      </c>
      <c r="U161" s="6">
        <v>55</v>
      </c>
      <c r="V161" s="6">
        <f>IF(ISERROR(VLOOKUP($S$161,'TAR FIN'!$A$1:$O$85,15,0)),0,VLOOKUP($S$161,'TAR FIN'!$A$1:$O$85,15,0))</f>
        <v>0</v>
      </c>
      <c r="W161" s="6">
        <f>IF(ISERROR(VLOOKUP($T$161,'TAR FIN'!$A$1:$O$85,15,0)),0,VLOOKUP($T$161,'TAR FIN'!$A$1:$O$85,15,0))</f>
        <v>327.33999999999997</v>
      </c>
      <c r="X161" s="6">
        <f>IF(ISERROR(VLOOKUP($U$161,'TAR FIN'!$A$1:$O$85,15,0)),0,VLOOKUP($U$161,'TAR FIN'!$A$1:$O$85,15,0))</f>
        <v>71.98</v>
      </c>
      <c r="Y161" s="6"/>
      <c r="Z161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161" s="6">
        <f>('TE BE'!$AB$12+'TE BF'!$AB$12+'TE CVA'!$AB$12)*(1-CUSTOS!$M$35)</f>
        <v>73.55182809634033</v>
      </c>
      <c r="AB161" s="6">
        <f>$K$161*$V$161</f>
        <v>0</v>
      </c>
      <c r="AC161" s="6">
        <f>$M$161*$W$161</f>
        <v>3076.3413199999995</v>
      </c>
      <c r="AD161" s="6">
        <f>$O$161*$X$161</f>
        <v>676.46803999999997</v>
      </c>
      <c r="AE161" s="6">
        <f>$K$161*$Y$161</f>
        <v>0</v>
      </c>
      <c r="AF161" s="6">
        <f ca="1">$M$161*$Z$161</f>
        <v>3134.7566345385139</v>
      </c>
      <c r="AG161" s="6">
        <f>$O$161*$AA$161</f>
        <v>691.24008044940638</v>
      </c>
    </row>
    <row r="162" spans="1:33" ht="11.25" customHeight="1" x14ac:dyDescent="0.3">
      <c r="A162" s="4" t="s">
        <v>27</v>
      </c>
      <c r="B162" s="4" t="s">
        <v>22</v>
      </c>
      <c r="C162" s="4" t="s">
        <v>23</v>
      </c>
      <c r="D162" s="4" t="s">
        <v>24</v>
      </c>
      <c r="E162" s="4" t="s">
        <v>30</v>
      </c>
      <c r="F162" s="4" t="s">
        <v>25</v>
      </c>
      <c r="G162" s="4" t="s">
        <v>25</v>
      </c>
      <c r="H162" s="4" t="s">
        <v>25</v>
      </c>
      <c r="I162" s="5">
        <v>44621</v>
      </c>
      <c r="J162" s="6">
        <v>0</v>
      </c>
      <c r="K162" s="6">
        <v>0</v>
      </c>
      <c r="L162" s="6">
        <v>7.0000000000000007E-2</v>
      </c>
      <c r="M162" s="6">
        <v>7.0000000000000007E-2</v>
      </c>
      <c r="N162" s="6">
        <v>7.0000000000000007E-2</v>
      </c>
      <c r="O162" s="6">
        <v>7.0000000000000007E-2</v>
      </c>
      <c r="P162" s="6">
        <v>0</v>
      </c>
      <c r="Q162" s="4" t="s">
        <v>26</v>
      </c>
      <c r="R162" s="4">
        <v>0</v>
      </c>
      <c r="S162" s="6">
        <v>0</v>
      </c>
      <c r="T162" s="6">
        <v>4</v>
      </c>
      <c r="U162" s="6">
        <v>55</v>
      </c>
      <c r="V162" s="6">
        <f>IF(ISERROR(VLOOKUP($S$162,'TAR FIN'!$A$1:$O$85,15,0)),0,VLOOKUP($S$162,'TAR FIN'!$A$1:$O$85,15,0))</f>
        <v>0</v>
      </c>
      <c r="W162" s="6">
        <f>IF(ISERROR(VLOOKUP($T$162,'TAR FIN'!$A$1:$O$85,15,0)),0,VLOOKUP($T$162,'TAR FIN'!$A$1:$O$85,15,0))</f>
        <v>327.33999999999997</v>
      </c>
      <c r="X162" s="6">
        <f>IF(ISERROR(VLOOKUP($U$162,'TAR FIN'!$A$1:$O$85,15,0)),0,VLOOKUP($U$162,'TAR FIN'!$A$1:$O$85,15,0))</f>
        <v>71.98</v>
      </c>
      <c r="Y162" s="6"/>
      <c r="Z162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162" s="6">
        <f>('TE BE'!$AB$12+'TE BF'!$AB$12+'TE CVA'!$AB$12)*(1-CUSTOS!$M$35)</f>
        <v>73.55182809634033</v>
      </c>
      <c r="AB162" s="6">
        <f>$K$162*$V$162</f>
        <v>0</v>
      </c>
      <c r="AC162" s="6">
        <f>$M$162*$W$162</f>
        <v>22.913800000000002</v>
      </c>
      <c r="AD162" s="6">
        <f>$O$162*$X$162</f>
        <v>5.0386000000000006</v>
      </c>
      <c r="AE162" s="6">
        <f>$K$162*$Y$162</f>
        <v>0</v>
      </c>
      <c r="AF162" s="6">
        <f ca="1">$M$162*$Z$162</f>
        <v>23.348900235975314</v>
      </c>
      <c r="AG162" s="6">
        <f>$O$162*$AA$162</f>
        <v>5.1486279667438239</v>
      </c>
    </row>
    <row r="163" spans="1:33" ht="11.25" customHeight="1" x14ac:dyDescent="0.3">
      <c r="A163" s="4" t="s">
        <v>21</v>
      </c>
      <c r="B163" s="4" t="s">
        <v>22</v>
      </c>
      <c r="C163" s="4" t="s">
        <v>23</v>
      </c>
      <c r="D163" s="4" t="s">
        <v>24</v>
      </c>
      <c r="E163" s="4" t="s">
        <v>30</v>
      </c>
      <c r="F163" s="4" t="s">
        <v>25</v>
      </c>
      <c r="G163" s="4" t="s">
        <v>25</v>
      </c>
      <c r="H163" s="4" t="s">
        <v>25</v>
      </c>
      <c r="I163" s="5">
        <v>44652</v>
      </c>
      <c r="J163" s="6">
        <v>0</v>
      </c>
      <c r="K163" s="6">
        <v>0</v>
      </c>
      <c r="L163" s="6">
        <v>10.208</v>
      </c>
      <c r="M163" s="6">
        <v>10.208</v>
      </c>
      <c r="N163" s="6">
        <v>10.208</v>
      </c>
      <c r="O163" s="6">
        <v>10.208</v>
      </c>
      <c r="P163" s="6">
        <v>32</v>
      </c>
      <c r="Q163" s="4" t="s">
        <v>26</v>
      </c>
      <c r="R163" s="4">
        <v>0</v>
      </c>
      <c r="S163" s="6">
        <v>0</v>
      </c>
      <c r="T163" s="6">
        <v>4</v>
      </c>
      <c r="U163" s="6">
        <v>55</v>
      </c>
      <c r="V163" s="6">
        <f>IF(ISERROR(VLOOKUP($S$163,'TAR FIN'!$A$1:$O$85,15,0)),0,VLOOKUP($S$163,'TAR FIN'!$A$1:$O$85,15,0))</f>
        <v>0</v>
      </c>
      <c r="W163" s="6">
        <f>IF(ISERROR(VLOOKUP($T$163,'TAR FIN'!$A$1:$O$85,15,0)),0,VLOOKUP($T$163,'TAR FIN'!$A$1:$O$85,15,0))</f>
        <v>327.33999999999997</v>
      </c>
      <c r="X163" s="6">
        <f>IF(ISERROR(VLOOKUP($U$163,'TAR FIN'!$A$1:$O$85,15,0)),0,VLOOKUP($U$163,'TAR FIN'!$A$1:$O$85,15,0))</f>
        <v>71.98</v>
      </c>
      <c r="Y163" s="6"/>
      <c r="Z163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163" s="6">
        <f>('TE BE'!$AB$12+'TE BF'!$AB$12+'TE CVA'!$AB$12)*(1-CUSTOS!$M$35)</f>
        <v>73.55182809634033</v>
      </c>
      <c r="AB163" s="6">
        <f>$K$163*$V$163</f>
        <v>0</v>
      </c>
      <c r="AC163" s="6">
        <f>$M$163*$W$163</f>
        <v>3341.4867199999999</v>
      </c>
      <c r="AD163" s="6">
        <f>$O$163*$X$163</f>
        <v>734.77184</v>
      </c>
      <c r="AE163" s="6">
        <f>$K$163*$Y$163</f>
        <v>0</v>
      </c>
      <c r="AF163" s="6">
        <f ca="1">$M$163*$Z$163</f>
        <v>3404.9367658405145</v>
      </c>
      <c r="AG163" s="6">
        <f>$O$163*$AA$163</f>
        <v>750.81706120744207</v>
      </c>
    </row>
    <row r="164" spans="1:33" ht="11.25" customHeight="1" x14ac:dyDescent="0.3">
      <c r="A164" s="4" t="s">
        <v>21</v>
      </c>
      <c r="B164" s="4" t="s">
        <v>22</v>
      </c>
      <c r="C164" s="4" t="s">
        <v>23</v>
      </c>
      <c r="D164" s="4" t="s">
        <v>24</v>
      </c>
      <c r="E164" s="4" t="s">
        <v>30</v>
      </c>
      <c r="F164" s="4" t="s">
        <v>25</v>
      </c>
      <c r="G164" s="4" t="s">
        <v>25</v>
      </c>
      <c r="H164" s="4" t="s">
        <v>25</v>
      </c>
      <c r="I164" s="5">
        <v>44682</v>
      </c>
      <c r="J164" s="6">
        <v>0</v>
      </c>
      <c r="K164" s="6">
        <v>0</v>
      </c>
      <c r="L164" s="6">
        <v>11.129</v>
      </c>
      <c r="M164" s="6">
        <v>11.129</v>
      </c>
      <c r="N164" s="6">
        <v>11.129</v>
      </c>
      <c r="O164" s="6">
        <v>11.129</v>
      </c>
      <c r="P164" s="6">
        <v>31</v>
      </c>
      <c r="Q164" s="4" t="s">
        <v>26</v>
      </c>
      <c r="R164" s="4">
        <v>0</v>
      </c>
      <c r="S164" s="6">
        <v>0</v>
      </c>
      <c r="T164" s="6">
        <v>4</v>
      </c>
      <c r="U164" s="6">
        <v>55</v>
      </c>
      <c r="V164" s="6">
        <f>IF(ISERROR(VLOOKUP($S$164,'TAR FIN'!$A$1:$O$85,15,0)),0,VLOOKUP($S$164,'TAR FIN'!$A$1:$O$85,15,0))</f>
        <v>0</v>
      </c>
      <c r="W164" s="6">
        <f>IF(ISERROR(VLOOKUP($T$164,'TAR FIN'!$A$1:$O$85,15,0)),0,VLOOKUP($T$164,'TAR FIN'!$A$1:$O$85,15,0))</f>
        <v>327.33999999999997</v>
      </c>
      <c r="X164" s="6">
        <f>IF(ISERROR(VLOOKUP($U$164,'TAR FIN'!$A$1:$O$85,15,0)),0,VLOOKUP($U$164,'TAR FIN'!$A$1:$O$85,15,0))</f>
        <v>71.98</v>
      </c>
      <c r="Y164" s="6"/>
      <c r="Z164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164" s="6">
        <f>('TE BE'!$AB$12+'TE BF'!$AB$12+'TE CVA'!$AB$12)*(1-CUSTOS!$M$35)</f>
        <v>73.55182809634033</v>
      </c>
      <c r="AB164" s="6">
        <f>$K$164*$V$164</f>
        <v>0</v>
      </c>
      <c r="AC164" s="6">
        <f>$M$164*$W$164</f>
        <v>3642.9668599999995</v>
      </c>
      <c r="AD164" s="6">
        <f>$O$164*$X$164</f>
        <v>801.06542000000002</v>
      </c>
      <c r="AE164" s="6">
        <f>$K$164*$Y$164</f>
        <v>0</v>
      </c>
      <c r="AF164" s="6">
        <f ca="1">$M$164*$Z$164</f>
        <v>3712.1415818024179</v>
      </c>
      <c r="AG164" s="6">
        <f>$O$164*$AA$164</f>
        <v>818.55829488417146</v>
      </c>
    </row>
    <row r="165" spans="1:33" ht="11.25" customHeight="1" x14ac:dyDescent="0.3">
      <c r="A165" s="4" t="s">
        <v>21</v>
      </c>
      <c r="B165" s="4" t="s">
        <v>22</v>
      </c>
      <c r="C165" s="4" t="s">
        <v>23</v>
      </c>
      <c r="D165" s="4" t="s">
        <v>24</v>
      </c>
      <c r="E165" s="4" t="s">
        <v>30</v>
      </c>
      <c r="F165" s="4" t="s">
        <v>25</v>
      </c>
      <c r="G165" s="4" t="s">
        <v>25</v>
      </c>
      <c r="H165" s="4" t="s">
        <v>25</v>
      </c>
      <c r="I165" s="5">
        <v>44713</v>
      </c>
      <c r="J165" s="6">
        <v>0</v>
      </c>
      <c r="K165" s="6">
        <v>0</v>
      </c>
      <c r="L165" s="6">
        <v>11.378</v>
      </c>
      <c r="M165" s="6">
        <v>11.378</v>
      </c>
      <c r="N165" s="6">
        <v>11.378</v>
      </c>
      <c r="O165" s="6">
        <v>11.378</v>
      </c>
      <c r="P165" s="6">
        <v>27</v>
      </c>
      <c r="Q165" s="4" t="s">
        <v>26</v>
      </c>
      <c r="R165" s="4">
        <v>0</v>
      </c>
      <c r="S165" s="6">
        <v>0</v>
      </c>
      <c r="T165" s="6">
        <v>4</v>
      </c>
      <c r="U165" s="6">
        <v>55</v>
      </c>
      <c r="V165" s="6">
        <f>IF(ISERROR(VLOOKUP($S$165,'TAR FIN'!$A$1:$O$85,15,0)),0,VLOOKUP($S$165,'TAR FIN'!$A$1:$O$85,15,0))</f>
        <v>0</v>
      </c>
      <c r="W165" s="6">
        <f>IF(ISERROR(VLOOKUP($T$165,'TAR FIN'!$A$1:$O$85,15,0)),0,VLOOKUP($T$165,'TAR FIN'!$A$1:$O$85,15,0))</f>
        <v>327.33999999999997</v>
      </c>
      <c r="X165" s="6">
        <f>IF(ISERROR(VLOOKUP($U$165,'TAR FIN'!$A$1:$O$85,15,0)),0,VLOOKUP($U$165,'TAR FIN'!$A$1:$O$85,15,0))</f>
        <v>71.98</v>
      </c>
      <c r="Y165" s="6"/>
      <c r="Z165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165" s="6">
        <f>('TE BE'!$AB$12+'TE BF'!$AB$12+'TE CVA'!$AB$12)*(1-CUSTOS!$M$35)</f>
        <v>73.55182809634033</v>
      </c>
      <c r="AB165" s="6">
        <f>$K$165*$V$165</f>
        <v>0</v>
      </c>
      <c r="AC165" s="6">
        <f>$M$165*$W$165</f>
        <v>3724.4745199999998</v>
      </c>
      <c r="AD165" s="6">
        <f>$O$165*$X$165</f>
        <v>818.98844000000008</v>
      </c>
      <c r="AE165" s="6">
        <f>$K$165*$Y$165</f>
        <v>0</v>
      </c>
      <c r="AF165" s="6">
        <f ca="1">$M$165*$Z$165</f>
        <v>3795.1969554989587</v>
      </c>
      <c r="AG165" s="6">
        <f>$O$165*$AA$165</f>
        <v>836.87270008016026</v>
      </c>
    </row>
    <row r="166" spans="1:33" ht="11.25" customHeight="1" x14ac:dyDescent="0.3">
      <c r="A166" s="4" t="s">
        <v>21</v>
      </c>
      <c r="B166" s="4" t="s">
        <v>22</v>
      </c>
      <c r="C166" s="4" t="s">
        <v>23</v>
      </c>
      <c r="D166" s="4" t="s">
        <v>24</v>
      </c>
      <c r="E166" s="4" t="s">
        <v>30</v>
      </c>
      <c r="F166" s="4" t="s">
        <v>25</v>
      </c>
      <c r="G166" s="4" t="s">
        <v>25</v>
      </c>
      <c r="H166" s="4" t="s">
        <v>25</v>
      </c>
      <c r="I166" s="5">
        <v>44743</v>
      </c>
      <c r="J166" s="6">
        <v>0</v>
      </c>
      <c r="K166" s="6">
        <v>0</v>
      </c>
      <c r="L166" s="6">
        <v>11.169</v>
      </c>
      <c r="M166" s="6">
        <v>11.169</v>
      </c>
      <c r="N166" s="6">
        <v>11.169</v>
      </c>
      <c r="O166" s="6">
        <v>11.169</v>
      </c>
      <c r="P166" s="6">
        <v>32</v>
      </c>
      <c r="Q166" s="4" t="s">
        <v>26</v>
      </c>
      <c r="R166" s="4">
        <v>0</v>
      </c>
      <c r="S166" s="6">
        <v>0</v>
      </c>
      <c r="T166" s="6">
        <v>4</v>
      </c>
      <c r="U166" s="6">
        <v>55</v>
      </c>
      <c r="V166" s="6">
        <f>IF(ISERROR(VLOOKUP($S$166,'TAR FIN'!$A$1:$O$85,15,0)),0,VLOOKUP($S$166,'TAR FIN'!$A$1:$O$85,15,0))</f>
        <v>0</v>
      </c>
      <c r="W166" s="6">
        <f>IF(ISERROR(VLOOKUP($T$166,'TAR FIN'!$A$1:$O$85,15,0)),0,VLOOKUP($T$166,'TAR FIN'!$A$1:$O$85,15,0))</f>
        <v>327.33999999999997</v>
      </c>
      <c r="X166" s="6">
        <f>IF(ISERROR(VLOOKUP($U$166,'TAR FIN'!$A$1:$O$85,15,0)),0,VLOOKUP($U$166,'TAR FIN'!$A$1:$O$85,15,0))</f>
        <v>71.98</v>
      </c>
      <c r="Y166" s="6"/>
      <c r="Z166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166" s="6">
        <f>('TE BE'!$AB$12+'TE BF'!$AB$12+'TE CVA'!$AB$12)*(1-CUSTOS!$M$35)</f>
        <v>73.55182809634033</v>
      </c>
      <c r="AB166" s="6">
        <f>$K$166*$V$166</f>
        <v>0</v>
      </c>
      <c r="AC166" s="6">
        <f>$M$166*$W$166</f>
        <v>3656.0604599999997</v>
      </c>
      <c r="AD166" s="6">
        <f>$O$166*$X$166</f>
        <v>803.9446200000001</v>
      </c>
      <c r="AE166" s="6">
        <f>$K$166*$Y$166</f>
        <v>0</v>
      </c>
      <c r="AF166" s="6">
        <f ca="1">$M$166*$Z$166</f>
        <v>3725.4838105086897</v>
      </c>
      <c r="AG166" s="6">
        <f>$O$166*$AA$166</f>
        <v>821.50036800802513</v>
      </c>
    </row>
    <row r="167" spans="1:33" ht="11.25" customHeight="1" x14ac:dyDescent="0.3">
      <c r="A167" s="4" t="s">
        <v>52</v>
      </c>
      <c r="B167" s="4" t="s">
        <v>22</v>
      </c>
      <c r="C167" s="4" t="s">
        <v>23</v>
      </c>
      <c r="D167" s="4" t="s">
        <v>24</v>
      </c>
      <c r="E167" s="4" t="s">
        <v>30</v>
      </c>
      <c r="F167" s="4" t="s">
        <v>25</v>
      </c>
      <c r="G167" s="4" t="s">
        <v>25</v>
      </c>
      <c r="H167" s="4" t="s">
        <v>25</v>
      </c>
      <c r="I167" s="5">
        <v>44774</v>
      </c>
      <c r="J167" s="6">
        <v>0</v>
      </c>
      <c r="K167" s="6">
        <v>0</v>
      </c>
      <c r="L167" s="6">
        <v>11.169</v>
      </c>
      <c r="M167" s="6">
        <v>11.169</v>
      </c>
      <c r="N167" s="6">
        <v>11.169</v>
      </c>
      <c r="O167" s="6">
        <v>11.169</v>
      </c>
      <c r="P167" s="6">
        <v>32</v>
      </c>
      <c r="Q167" s="4" t="s">
        <v>26</v>
      </c>
      <c r="R167" s="4">
        <v>0</v>
      </c>
      <c r="S167" s="6">
        <v>0</v>
      </c>
      <c r="T167" s="6">
        <v>4</v>
      </c>
      <c r="U167" s="6">
        <v>55</v>
      </c>
      <c r="V167" s="6">
        <f>IF(ISERROR(VLOOKUP($S$167,'TAR FIN'!$A$1:$O$85,15,0)),0,VLOOKUP($S$167,'TAR FIN'!$A$1:$O$85,15,0))</f>
        <v>0</v>
      </c>
      <c r="W167" s="6">
        <f>IF(ISERROR(VLOOKUP($T$167,'TAR FIN'!$A$1:$O$85,15,0)),0,VLOOKUP($T$167,'TAR FIN'!$A$1:$O$85,15,0))</f>
        <v>327.33999999999997</v>
      </c>
      <c r="X167" s="6">
        <f>IF(ISERROR(VLOOKUP($U$167,'TAR FIN'!$A$1:$O$85,15,0)),0,VLOOKUP($U$167,'TAR FIN'!$A$1:$O$85,15,0))</f>
        <v>71.98</v>
      </c>
      <c r="Y167" s="6"/>
      <c r="Z167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167" s="6">
        <f>('TE BE'!$AB$12+'TE BF'!$AB$12+'TE CVA'!$AB$12)*(1-CUSTOS!$M$35)</f>
        <v>73.55182809634033</v>
      </c>
      <c r="AB167" s="6">
        <f>$K$167*$V$167</f>
        <v>0</v>
      </c>
      <c r="AC167" s="6">
        <f>$M$167*$W$167</f>
        <v>3656.0604599999997</v>
      </c>
      <c r="AD167" s="6">
        <f>$O$167*$X$167</f>
        <v>803.9446200000001</v>
      </c>
      <c r="AE167" s="6">
        <f>$K$167*$Y$167</f>
        <v>0</v>
      </c>
      <c r="AF167" s="6">
        <f ca="1">$M$167*$Z$167</f>
        <v>3725.4838105086897</v>
      </c>
      <c r="AG167" s="6">
        <f>$O$167*$AA$167</f>
        <v>821.50036800802513</v>
      </c>
    </row>
    <row r="168" spans="1:33" ht="11.25" customHeight="1" x14ac:dyDescent="0.3">
      <c r="A168" s="4" t="s">
        <v>21</v>
      </c>
      <c r="B168" s="4" t="s">
        <v>22</v>
      </c>
      <c r="C168" s="4" t="s">
        <v>23</v>
      </c>
      <c r="D168" s="4" t="s">
        <v>24</v>
      </c>
      <c r="E168" s="4" t="s">
        <v>31</v>
      </c>
      <c r="F168" s="4" t="s">
        <v>25</v>
      </c>
      <c r="G168" s="4" t="s">
        <v>25</v>
      </c>
      <c r="H168" s="4" t="s">
        <v>25</v>
      </c>
      <c r="I168" s="5">
        <v>44440</v>
      </c>
      <c r="J168" s="6">
        <v>0</v>
      </c>
      <c r="K168" s="6">
        <v>0</v>
      </c>
      <c r="L168" s="6">
        <v>6.57</v>
      </c>
      <c r="M168" s="6">
        <v>6.57</v>
      </c>
      <c r="N168" s="6">
        <v>6.57</v>
      </c>
      <c r="O168" s="6">
        <v>6.57</v>
      </c>
      <c r="P168" s="6">
        <v>64</v>
      </c>
      <c r="Q168" s="4" t="s">
        <v>26</v>
      </c>
      <c r="R168" s="4">
        <v>0</v>
      </c>
      <c r="S168" s="6">
        <v>0</v>
      </c>
      <c r="T168" s="6">
        <v>7</v>
      </c>
      <c r="U168" s="6">
        <v>63</v>
      </c>
      <c r="V168" s="6">
        <f>IF(ISERROR(VLOOKUP($S$168,'TAR FIN'!$A$1:$O$85,15,0)),0,VLOOKUP($S$168,'TAR FIN'!$A$1:$O$85,15,0))</f>
        <v>0</v>
      </c>
      <c r="W168" s="6">
        <f>IF(ISERROR(VLOOKUP($T$168,'TAR FIN'!$A$1:$O$85,15,0)),0,VLOOKUP($T$168,'TAR FIN'!$A$1:$O$85,15,0))</f>
        <v>491.01</v>
      </c>
      <c r="X168" s="6">
        <f>IF(ISERROR(VLOOKUP($U$168,'TAR FIN'!$A$1:$O$85,15,0)),0,VLOOKUP($U$168,'TAR FIN'!$A$1:$O$85,15,0))</f>
        <v>107.98</v>
      </c>
      <c r="Y168" s="6"/>
      <c r="Z168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168" s="6">
        <f>('TE BE'!$AB$13+'TE BF'!$AB$13+'TE CVA'!$AB$13)*(1-CUSTOS!$M$36)</f>
        <v>110.32774214451051</v>
      </c>
      <c r="AB168" s="6">
        <f>$K$168*$V$168</f>
        <v>0</v>
      </c>
      <c r="AC168" s="6">
        <f>$M$168*$W$168</f>
        <v>3225.9357</v>
      </c>
      <c r="AD168" s="6">
        <f>$O$168*$X$168</f>
        <v>709.42860000000007</v>
      </c>
      <c r="AE168" s="6">
        <f>$K$168*$Y$168</f>
        <v>0</v>
      </c>
      <c r="AF168" s="6">
        <f ca="1">$M$168*$Z$168</f>
        <v>3287.1915975076677</v>
      </c>
      <c r="AG168" s="6">
        <f>$O$168*$AA$168</f>
        <v>724.85326588943406</v>
      </c>
    </row>
    <row r="169" spans="1:33" ht="11.25" customHeight="1" x14ac:dyDescent="0.3">
      <c r="A169" s="4" t="s">
        <v>21</v>
      </c>
      <c r="B169" s="4" t="s">
        <v>22</v>
      </c>
      <c r="C169" s="4" t="s">
        <v>23</v>
      </c>
      <c r="D169" s="4" t="s">
        <v>24</v>
      </c>
      <c r="E169" s="4" t="s">
        <v>31</v>
      </c>
      <c r="F169" s="4" t="s">
        <v>25</v>
      </c>
      <c r="G169" s="4" t="s">
        <v>25</v>
      </c>
      <c r="H169" s="4" t="s">
        <v>25</v>
      </c>
      <c r="I169" s="5">
        <v>44470</v>
      </c>
      <c r="J169" s="6">
        <v>0</v>
      </c>
      <c r="K169" s="6">
        <v>0</v>
      </c>
      <c r="L169" s="6">
        <v>8.2279999999999998</v>
      </c>
      <c r="M169" s="6">
        <v>8.2279999999999998</v>
      </c>
      <c r="N169" s="6">
        <v>8.2279999999999998</v>
      </c>
      <c r="O169" s="6">
        <v>8.2279999999999998</v>
      </c>
      <c r="P169" s="6">
        <v>60</v>
      </c>
      <c r="Q169" s="4" t="s">
        <v>26</v>
      </c>
      <c r="R169" s="4">
        <v>0</v>
      </c>
      <c r="S169" s="6">
        <v>0</v>
      </c>
      <c r="T169" s="6">
        <v>7</v>
      </c>
      <c r="U169" s="6">
        <v>63</v>
      </c>
      <c r="V169" s="6">
        <f>IF(ISERROR(VLOOKUP($S$169,'TAR FIN'!$A$1:$O$85,15,0)),0,VLOOKUP($S$169,'TAR FIN'!$A$1:$O$85,15,0))</f>
        <v>0</v>
      </c>
      <c r="W169" s="6">
        <f>IF(ISERROR(VLOOKUP($T$169,'TAR FIN'!$A$1:$O$85,15,0)),0,VLOOKUP($T$169,'TAR FIN'!$A$1:$O$85,15,0))</f>
        <v>491.01</v>
      </c>
      <c r="X169" s="6">
        <f>IF(ISERROR(VLOOKUP($U$169,'TAR FIN'!$A$1:$O$85,15,0)),0,VLOOKUP($U$169,'TAR FIN'!$A$1:$O$85,15,0))</f>
        <v>107.98</v>
      </c>
      <c r="Y169" s="6"/>
      <c r="Z169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169" s="6">
        <f>('TE BE'!$AB$13+'TE BF'!$AB$13+'TE CVA'!$AB$13)*(1-CUSTOS!$M$36)</f>
        <v>110.32774214451051</v>
      </c>
      <c r="AB169" s="6">
        <f>$K$169*$V$169</f>
        <v>0</v>
      </c>
      <c r="AC169" s="6">
        <f>$M$169*$W$169</f>
        <v>4040.0302799999999</v>
      </c>
      <c r="AD169" s="6">
        <f>$O$169*$X$169</f>
        <v>888.45943999999997</v>
      </c>
      <c r="AE169" s="6">
        <f>$K$169*$Y$169</f>
        <v>0</v>
      </c>
      <c r="AF169" s="6">
        <f ca="1">$M$169*$Z$169</f>
        <v>4116.7446673201048</v>
      </c>
      <c r="AG169" s="6">
        <f>$O$169*$AA$169</f>
        <v>907.77666236503239</v>
      </c>
    </row>
    <row r="170" spans="1:33" ht="11.25" customHeight="1" x14ac:dyDescent="0.3">
      <c r="A170" s="4" t="s">
        <v>21</v>
      </c>
      <c r="B170" s="4" t="s">
        <v>22</v>
      </c>
      <c r="C170" s="4" t="s">
        <v>23</v>
      </c>
      <c r="D170" s="4" t="s">
        <v>24</v>
      </c>
      <c r="E170" s="4" t="s">
        <v>31</v>
      </c>
      <c r="F170" s="4" t="s">
        <v>25</v>
      </c>
      <c r="G170" s="4" t="s">
        <v>25</v>
      </c>
      <c r="H170" s="4" t="s">
        <v>25</v>
      </c>
      <c r="I170" s="5">
        <v>44501</v>
      </c>
      <c r="J170" s="6">
        <v>0</v>
      </c>
      <c r="K170" s="6">
        <v>0</v>
      </c>
      <c r="L170" s="6">
        <v>7.726</v>
      </c>
      <c r="M170" s="6">
        <v>7.726</v>
      </c>
      <c r="N170" s="6">
        <v>7.726</v>
      </c>
      <c r="O170" s="6">
        <v>7.726</v>
      </c>
      <c r="P170" s="6">
        <v>67</v>
      </c>
      <c r="Q170" s="4" t="s">
        <v>26</v>
      </c>
      <c r="R170" s="4">
        <v>0</v>
      </c>
      <c r="S170" s="6">
        <v>0</v>
      </c>
      <c r="T170" s="6">
        <v>7</v>
      </c>
      <c r="U170" s="6">
        <v>63</v>
      </c>
      <c r="V170" s="6">
        <f>IF(ISERROR(VLOOKUP($S$170,'TAR FIN'!$A$1:$O$85,15,0)),0,VLOOKUP($S$170,'TAR FIN'!$A$1:$O$85,15,0))</f>
        <v>0</v>
      </c>
      <c r="W170" s="6">
        <f>IF(ISERROR(VLOOKUP($T$170,'TAR FIN'!$A$1:$O$85,15,0)),0,VLOOKUP($T$170,'TAR FIN'!$A$1:$O$85,15,0))</f>
        <v>491.01</v>
      </c>
      <c r="X170" s="6">
        <f>IF(ISERROR(VLOOKUP($U$170,'TAR FIN'!$A$1:$O$85,15,0)),0,VLOOKUP($U$170,'TAR FIN'!$A$1:$O$85,15,0))</f>
        <v>107.98</v>
      </c>
      <c r="Y170" s="6"/>
      <c r="Z170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170" s="6">
        <f>('TE BE'!$AB$13+'TE BF'!$AB$13+'TE CVA'!$AB$13)*(1-CUSTOS!$M$36)</f>
        <v>110.32774214451051</v>
      </c>
      <c r="AB170" s="6">
        <f>$K$170*$V$170</f>
        <v>0</v>
      </c>
      <c r="AC170" s="6">
        <f>$M$170*$W$170</f>
        <v>3793.5432599999999</v>
      </c>
      <c r="AD170" s="6">
        <f>$O$170*$X$170</f>
        <v>834.25348000000008</v>
      </c>
      <c r="AE170" s="6">
        <f>$K$170*$Y$170</f>
        <v>0</v>
      </c>
      <c r="AF170" s="6">
        <f ca="1">$M$170*$Z$170</f>
        <v>3865.5772119245416</v>
      </c>
      <c r="AG170" s="6">
        <f>$O$170*$AA$170</f>
        <v>852.39213580848821</v>
      </c>
    </row>
    <row r="171" spans="1:33" ht="11.25" customHeight="1" x14ac:dyDescent="0.3">
      <c r="A171" s="4" t="s">
        <v>21</v>
      </c>
      <c r="B171" s="4" t="s">
        <v>22</v>
      </c>
      <c r="C171" s="4" t="s">
        <v>23</v>
      </c>
      <c r="D171" s="4" t="s">
        <v>24</v>
      </c>
      <c r="E171" s="4" t="s">
        <v>31</v>
      </c>
      <c r="F171" s="4" t="s">
        <v>25</v>
      </c>
      <c r="G171" s="4" t="s">
        <v>25</v>
      </c>
      <c r="H171" s="4" t="s">
        <v>25</v>
      </c>
      <c r="I171" s="5">
        <v>44531</v>
      </c>
      <c r="J171" s="6">
        <v>0</v>
      </c>
      <c r="K171" s="6">
        <v>0</v>
      </c>
      <c r="L171" s="6">
        <v>7.9729999999999999</v>
      </c>
      <c r="M171" s="6">
        <v>7.9729999999999999</v>
      </c>
      <c r="N171" s="6">
        <v>7.9729999999999999</v>
      </c>
      <c r="O171" s="6">
        <v>7.9729999999999999</v>
      </c>
      <c r="P171" s="6">
        <v>71</v>
      </c>
      <c r="Q171" s="4" t="s">
        <v>26</v>
      </c>
      <c r="R171" s="4">
        <v>0</v>
      </c>
      <c r="S171" s="6">
        <v>0</v>
      </c>
      <c r="T171" s="6">
        <v>7</v>
      </c>
      <c r="U171" s="6">
        <v>63</v>
      </c>
      <c r="V171" s="6">
        <f>IF(ISERROR(VLOOKUP($S$171,'TAR FIN'!$A$1:$O$85,15,0)),0,VLOOKUP($S$171,'TAR FIN'!$A$1:$O$85,15,0))</f>
        <v>0</v>
      </c>
      <c r="W171" s="6">
        <f>IF(ISERROR(VLOOKUP($T$171,'TAR FIN'!$A$1:$O$85,15,0)),0,VLOOKUP($T$171,'TAR FIN'!$A$1:$O$85,15,0))</f>
        <v>491.01</v>
      </c>
      <c r="X171" s="6">
        <f>IF(ISERROR(VLOOKUP($U$171,'TAR FIN'!$A$1:$O$85,15,0)),0,VLOOKUP($U$171,'TAR FIN'!$A$1:$O$85,15,0))</f>
        <v>107.98</v>
      </c>
      <c r="Y171" s="6"/>
      <c r="Z171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171" s="6">
        <f>('TE BE'!$AB$13+'TE BF'!$AB$13+'TE CVA'!$AB$13)*(1-CUSTOS!$M$36)</f>
        <v>110.32774214451051</v>
      </c>
      <c r="AB171" s="6">
        <f>$K$171*$V$171</f>
        <v>0</v>
      </c>
      <c r="AC171" s="6">
        <f>$M$171*$W$171</f>
        <v>3914.8227299999999</v>
      </c>
      <c r="AD171" s="6">
        <f>$O$171*$X$171</f>
        <v>860.92453999999998</v>
      </c>
      <c r="AE171" s="6">
        <f>$K$171*$Y$171</f>
        <v>0</v>
      </c>
      <c r="AF171" s="6">
        <f ca="1">$M$171*$Z$171</f>
        <v>3989.1596053163821</v>
      </c>
      <c r="AG171" s="6">
        <f>$O$171*$AA$171</f>
        <v>879.64308811818228</v>
      </c>
    </row>
    <row r="172" spans="1:33" ht="11.25" customHeight="1" x14ac:dyDescent="0.3">
      <c r="A172" s="4" t="s">
        <v>21</v>
      </c>
      <c r="B172" s="4" t="s">
        <v>22</v>
      </c>
      <c r="C172" s="4" t="s">
        <v>23</v>
      </c>
      <c r="D172" s="4" t="s">
        <v>24</v>
      </c>
      <c r="E172" s="4" t="s">
        <v>31</v>
      </c>
      <c r="F172" s="4" t="s">
        <v>25</v>
      </c>
      <c r="G172" s="4" t="s">
        <v>25</v>
      </c>
      <c r="H172" s="4" t="s">
        <v>25</v>
      </c>
      <c r="I172" s="5">
        <v>44562</v>
      </c>
      <c r="J172" s="6">
        <v>0</v>
      </c>
      <c r="K172" s="6">
        <v>0</v>
      </c>
      <c r="L172" s="6">
        <v>9.3420000000000005</v>
      </c>
      <c r="M172" s="6">
        <v>9.3420000000000005</v>
      </c>
      <c r="N172" s="6">
        <v>9.3420000000000005</v>
      </c>
      <c r="O172" s="6">
        <v>9.3420000000000005</v>
      </c>
      <c r="P172" s="6">
        <v>60</v>
      </c>
      <c r="Q172" s="4" t="s">
        <v>26</v>
      </c>
      <c r="R172" s="4">
        <v>0</v>
      </c>
      <c r="S172" s="6">
        <v>0</v>
      </c>
      <c r="T172" s="6">
        <v>7</v>
      </c>
      <c r="U172" s="6">
        <v>63</v>
      </c>
      <c r="V172" s="6">
        <f>IF(ISERROR(VLOOKUP($S$172,'TAR FIN'!$A$1:$O$85,15,0)),0,VLOOKUP($S$172,'TAR FIN'!$A$1:$O$85,15,0))</f>
        <v>0</v>
      </c>
      <c r="W172" s="6">
        <f>IF(ISERROR(VLOOKUP($T$172,'TAR FIN'!$A$1:$O$85,15,0)),0,VLOOKUP($T$172,'TAR FIN'!$A$1:$O$85,15,0))</f>
        <v>491.01</v>
      </c>
      <c r="X172" s="6">
        <f>IF(ISERROR(VLOOKUP($U$172,'TAR FIN'!$A$1:$O$85,15,0)),0,VLOOKUP($U$172,'TAR FIN'!$A$1:$O$85,15,0))</f>
        <v>107.98</v>
      </c>
      <c r="Y172" s="6"/>
      <c r="Z172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172" s="6">
        <f>('TE BE'!$AB$13+'TE BF'!$AB$13+'TE CVA'!$AB$13)*(1-CUSTOS!$M$36)</f>
        <v>110.32774214451051</v>
      </c>
      <c r="AB172" s="6">
        <f>$K$172*$V$172</f>
        <v>0</v>
      </c>
      <c r="AC172" s="6">
        <f>$M$172*$W$172</f>
        <v>4587.0154199999997</v>
      </c>
      <c r="AD172" s="6">
        <f>$O$172*$X$172</f>
        <v>1008.7491600000001</v>
      </c>
      <c r="AE172" s="6">
        <f>$K$172*$Y$172</f>
        <v>0</v>
      </c>
      <c r="AF172" s="6">
        <f ca="1">$M$172*$Z$172</f>
        <v>4674.116271524601</v>
      </c>
      <c r="AG172" s="6">
        <f>$O$172*$AA$172</f>
        <v>1030.6817671140172</v>
      </c>
    </row>
    <row r="173" spans="1:33" ht="11.25" customHeight="1" x14ac:dyDescent="0.3">
      <c r="A173" s="4" t="s">
        <v>21</v>
      </c>
      <c r="B173" s="4" t="s">
        <v>22</v>
      </c>
      <c r="C173" s="4" t="s">
        <v>23</v>
      </c>
      <c r="D173" s="4" t="s">
        <v>24</v>
      </c>
      <c r="E173" s="4" t="s">
        <v>31</v>
      </c>
      <c r="F173" s="4" t="s">
        <v>25</v>
      </c>
      <c r="G173" s="4" t="s">
        <v>25</v>
      </c>
      <c r="H173" s="4" t="s">
        <v>25</v>
      </c>
      <c r="I173" s="5">
        <v>44593</v>
      </c>
      <c r="J173" s="6">
        <v>0</v>
      </c>
      <c r="K173" s="6">
        <v>0</v>
      </c>
      <c r="L173" s="6">
        <v>11.077</v>
      </c>
      <c r="M173" s="6">
        <v>11.077</v>
      </c>
      <c r="N173" s="6">
        <v>11.077</v>
      </c>
      <c r="O173" s="6">
        <v>11.077</v>
      </c>
      <c r="P173" s="6">
        <v>65</v>
      </c>
      <c r="Q173" s="4" t="s">
        <v>26</v>
      </c>
      <c r="R173" s="4">
        <v>0</v>
      </c>
      <c r="S173" s="6">
        <v>0</v>
      </c>
      <c r="T173" s="6">
        <v>7</v>
      </c>
      <c r="U173" s="6">
        <v>63</v>
      </c>
      <c r="V173" s="6">
        <f>IF(ISERROR(VLOOKUP($S$173,'TAR FIN'!$A$1:$O$85,15,0)),0,VLOOKUP($S$173,'TAR FIN'!$A$1:$O$85,15,0))</f>
        <v>0</v>
      </c>
      <c r="W173" s="6">
        <f>IF(ISERROR(VLOOKUP($T$173,'TAR FIN'!$A$1:$O$85,15,0)),0,VLOOKUP($T$173,'TAR FIN'!$A$1:$O$85,15,0))</f>
        <v>491.01</v>
      </c>
      <c r="X173" s="6">
        <f>IF(ISERROR(VLOOKUP($U$173,'TAR FIN'!$A$1:$O$85,15,0)),0,VLOOKUP($U$173,'TAR FIN'!$A$1:$O$85,15,0))</f>
        <v>107.98</v>
      </c>
      <c r="Y173" s="6"/>
      <c r="Z173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173" s="6">
        <f>('TE BE'!$AB$13+'TE BF'!$AB$13+'TE CVA'!$AB$13)*(1-CUSTOS!$M$36)</f>
        <v>110.32774214451051</v>
      </c>
      <c r="AB173" s="6">
        <f>$K$173*$V$173</f>
        <v>0</v>
      </c>
      <c r="AC173" s="6">
        <f>$M$173*$W$173</f>
        <v>5438.91777</v>
      </c>
      <c r="AD173" s="6">
        <f>$O$173*$X$173</f>
        <v>1196.09446</v>
      </c>
      <c r="AE173" s="6">
        <f>$K$173*$Y$173</f>
        <v>0</v>
      </c>
      <c r="AF173" s="6">
        <f ca="1">$M$173*$Z$173</f>
        <v>5542.1950267263974</v>
      </c>
      <c r="AG173" s="6">
        <f>$O$173*$AA$173</f>
        <v>1222.100399734743</v>
      </c>
    </row>
    <row r="174" spans="1:33" ht="11.25" customHeight="1" x14ac:dyDescent="0.3">
      <c r="A174" s="4" t="s">
        <v>21</v>
      </c>
      <c r="B174" s="4" t="s">
        <v>22</v>
      </c>
      <c r="C174" s="4" t="s">
        <v>23</v>
      </c>
      <c r="D174" s="4" t="s">
        <v>24</v>
      </c>
      <c r="E174" s="4" t="s">
        <v>31</v>
      </c>
      <c r="F174" s="4" t="s">
        <v>25</v>
      </c>
      <c r="G174" s="4" t="s">
        <v>25</v>
      </c>
      <c r="H174" s="4" t="s">
        <v>25</v>
      </c>
      <c r="I174" s="5">
        <v>44621</v>
      </c>
      <c r="J174" s="6">
        <v>0</v>
      </c>
      <c r="K174" s="6">
        <v>0</v>
      </c>
      <c r="L174" s="6">
        <v>9.8089999999999993</v>
      </c>
      <c r="M174" s="6">
        <v>9.8089999999999993</v>
      </c>
      <c r="N174" s="6">
        <v>9.8089999999999993</v>
      </c>
      <c r="O174" s="6">
        <v>9.8089999999999993</v>
      </c>
      <c r="P174" s="6">
        <v>71</v>
      </c>
      <c r="Q174" s="4" t="s">
        <v>26</v>
      </c>
      <c r="R174" s="4">
        <v>0</v>
      </c>
      <c r="S174" s="6">
        <v>0</v>
      </c>
      <c r="T174" s="6">
        <v>7</v>
      </c>
      <c r="U174" s="6">
        <v>63</v>
      </c>
      <c r="V174" s="6">
        <f>IF(ISERROR(VLOOKUP($S$174,'TAR FIN'!$A$1:$O$85,15,0)),0,VLOOKUP($S$174,'TAR FIN'!$A$1:$O$85,15,0))</f>
        <v>0</v>
      </c>
      <c r="W174" s="6">
        <f>IF(ISERROR(VLOOKUP($T$174,'TAR FIN'!$A$1:$O$85,15,0)),0,VLOOKUP($T$174,'TAR FIN'!$A$1:$O$85,15,0))</f>
        <v>491.01</v>
      </c>
      <c r="X174" s="6">
        <f>IF(ISERROR(VLOOKUP($U$174,'TAR FIN'!$A$1:$O$85,15,0)),0,VLOOKUP($U$174,'TAR FIN'!$A$1:$O$85,15,0))</f>
        <v>107.98</v>
      </c>
      <c r="Y174" s="6"/>
      <c r="Z174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174" s="6">
        <f>('TE BE'!$AB$13+'TE BF'!$AB$13+'TE CVA'!$AB$13)*(1-CUSTOS!$M$36)</f>
        <v>110.32774214451051</v>
      </c>
      <c r="AB174" s="6">
        <f>$K$174*$V$174</f>
        <v>0</v>
      </c>
      <c r="AC174" s="6">
        <f>$M$174*$W$174</f>
        <v>4816.3170899999996</v>
      </c>
      <c r="AD174" s="6">
        <f>$O$174*$X$174</f>
        <v>1059.1758199999999</v>
      </c>
      <c r="AE174" s="6">
        <f>$K$174*$Y$174</f>
        <v>0</v>
      </c>
      <c r="AF174" s="6">
        <f ca="1">$M$174*$Z$174</f>
        <v>4907.7720517431826</v>
      </c>
      <c r="AG174" s="6">
        <f>$O$174*$AA$174</f>
        <v>1082.2048226955035</v>
      </c>
    </row>
    <row r="175" spans="1:33" ht="11.25" customHeight="1" x14ac:dyDescent="0.3">
      <c r="A175" s="4" t="s">
        <v>27</v>
      </c>
      <c r="B175" s="4" t="s">
        <v>22</v>
      </c>
      <c r="C175" s="4" t="s">
        <v>23</v>
      </c>
      <c r="D175" s="4" t="s">
        <v>24</v>
      </c>
      <c r="E175" s="4" t="s">
        <v>31</v>
      </c>
      <c r="F175" s="4" t="s">
        <v>25</v>
      </c>
      <c r="G175" s="4" t="s">
        <v>25</v>
      </c>
      <c r="H175" s="4" t="s">
        <v>25</v>
      </c>
      <c r="I175" s="5">
        <v>44621</v>
      </c>
      <c r="J175" s="6">
        <v>0</v>
      </c>
      <c r="K175" s="6">
        <v>0</v>
      </c>
      <c r="L175" s="6">
        <v>5.0999999999999997E-2</v>
      </c>
      <c r="M175" s="6">
        <v>5.0999999999999997E-2</v>
      </c>
      <c r="N175" s="6">
        <v>5.0999999999999997E-2</v>
      </c>
      <c r="O175" s="6">
        <v>5.0999999999999997E-2</v>
      </c>
      <c r="P175" s="6">
        <v>0</v>
      </c>
      <c r="Q175" s="4" t="s">
        <v>26</v>
      </c>
      <c r="R175" s="4">
        <v>0</v>
      </c>
      <c r="S175" s="6">
        <v>0</v>
      </c>
      <c r="T175" s="6">
        <v>7</v>
      </c>
      <c r="U175" s="6">
        <v>63</v>
      </c>
      <c r="V175" s="6">
        <f>IF(ISERROR(VLOOKUP($S$175,'TAR FIN'!$A$1:$O$85,15,0)),0,VLOOKUP($S$175,'TAR FIN'!$A$1:$O$85,15,0))</f>
        <v>0</v>
      </c>
      <c r="W175" s="6">
        <f>IF(ISERROR(VLOOKUP($T$175,'TAR FIN'!$A$1:$O$85,15,0)),0,VLOOKUP($T$175,'TAR FIN'!$A$1:$O$85,15,0))</f>
        <v>491.01</v>
      </c>
      <c r="X175" s="6">
        <f>IF(ISERROR(VLOOKUP($U$175,'TAR FIN'!$A$1:$O$85,15,0)),0,VLOOKUP($U$175,'TAR FIN'!$A$1:$O$85,15,0))</f>
        <v>107.98</v>
      </c>
      <c r="Y175" s="6"/>
      <c r="Z175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175" s="6">
        <f>('TE BE'!$AB$13+'TE BF'!$AB$13+'TE CVA'!$AB$13)*(1-CUSTOS!$M$36)</f>
        <v>110.32774214451051</v>
      </c>
      <c r="AB175" s="6">
        <f>$K$175*$V$175</f>
        <v>0</v>
      </c>
      <c r="AC175" s="6">
        <f>$M$175*$W$175</f>
        <v>25.041509999999999</v>
      </c>
      <c r="AD175" s="6">
        <f>$O$175*$X$175</f>
        <v>5.5069799999999995</v>
      </c>
      <c r="AE175" s="6">
        <f>$K$175*$Y$175</f>
        <v>0</v>
      </c>
      <c r="AF175" s="6">
        <f ca="1">$M$175*$Z$175</f>
        <v>25.517012400744449</v>
      </c>
      <c r="AG175" s="6">
        <f>$O$175*$AA$175</f>
        <v>5.6267148493700354</v>
      </c>
    </row>
    <row r="176" spans="1:33" ht="11.25" customHeight="1" x14ac:dyDescent="0.3">
      <c r="A176" s="4" t="s">
        <v>21</v>
      </c>
      <c r="B176" s="4" t="s">
        <v>22</v>
      </c>
      <c r="C176" s="4" t="s">
        <v>23</v>
      </c>
      <c r="D176" s="4" t="s">
        <v>24</v>
      </c>
      <c r="E176" s="4" t="s">
        <v>31</v>
      </c>
      <c r="F176" s="4" t="s">
        <v>25</v>
      </c>
      <c r="G176" s="4" t="s">
        <v>25</v>
      </c>
      <c r="H176" s="4" t="s">
        <v>25</v>
      </c>
      <c r="I176" s="5">
        <v>44652</v>
      </c>
      <c r="J176" s="6">
        <v>0</v>
      </c>
      <c r="K176" s="6">
        <v>0</v>
      </c>
      <c r="L176" s="6">
        <v>10.356999999999999</v>
      </c>
      <c r="M176" s="6">
        <v>10.356999999999999</v>
      </c>
      <c r="N176" s="6">
        <v>10.356999999999999</v>
      </c>
      <c r="O176" s="6">
        <v>10.356999999999999</v>
      </c>
      <c r="P176" s="6">
        <v>79</v>
      </c>
      <c r="Q176" s="4" t="s">
        <v>26</v>
      </c>
      <c r="R176" s="4">
        <v>0</v>
      </c>
      <c r="S176" s="6">
        <v>0</v>
      </c>
      <c r="T176" s="6">
        <v>7</v>
      </c>
      <c r="U176" s="6">
        <v>63</v>
      </c>
      <c r="V176" s="6">
        <f>IF(ISERROR(VLOOKUP($S$176,'TAR FIN'!$A$1:$O$85,15,0)),0,VLOOKUP($S$176,'TAR FIN'!$A$1:$O$85,15,0))</f>
        <v>0</v>
      </c>
      <c r="W176" s="6">
        <f>IF(ISERROR(VLOOKUP($T$176,'TAR FIN'!$A$1:$O$85,15,0)),0,VLOOKUP($T$176,'TAR FIN'!$A$1:$O$85,15,0))</f>
        <v>491.01</v>
      </c>
      <c r="X176" s="6">
        <f>IF(ISERROR(VLOOKUP($U$176,'TAR FIN'!$A$1:$O$85,15,0)),0,VLOOKUP($U$176,'TAR FIN'!$A$1:$O$85,15,0))</f>
        <v>107.98</v>
      </c>
      <c r="Y176" s="6"/>
      <c r="Z176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176" s="6">
        <f>('TE BE'!$AB$13+'TE BF'!$AB$13+'TE CVA'!$AB$13)*(1-CUSTOS!$M$36)</f>
        <v>110.32774214451051</v>
      </c>
      <c r="AB176" s="6">
        <f>$K$176*$V$176</f>
        <v>0</v>
      </c>
      <c r="AC176" s="6">
        <f>$M$176*$W$176</f>
        <v>5085.3905699999996</v>
      </c>
      <c r="AD176" s="6">
        <f>$O$176*$X$176</f>
        <v>1118.3488600000001</v>
      </c>
      <c r="AE176" s="6">
        <f>$K$176*$Y$176</f>
        <v>0</v>
      </c>
      <c r="AF176" s="6">
        <f ca="1">$M$176*$Z$176</f>
        <v>5181.954851657064</v>
      </c>
      <c r="AG176" s="6">
        <f>$O$176*$AA$176</f>
        <v>1142.6644253906952</v>
      </c>
    </row>
    <row r="177" spans="1:33" ht="11.25" customHeight="1" x14ac:dyDescent="0.3">
      <c r="A177" s="4" t="s">
        <v>21</v>
      </c>
      <c r="B177" s="4" t="s">
        <v>22</v>
      </c>
      <c r="C177" s="4" t="s">
        <v>23</v>
      </c>
      <c r="D177" s="4" t="s">
        <v>24</v>
      </c>
      <c r="E177" s="4" t="s">
        <v>31</v>
      </c>
      <c r="F177" s="4" t="s">
        <v>25</v>
      </c>
      <c r="G177" s="4" t="s">
        <v>25</v>
      </c>
      <c r="H177" s="4" t="s">
        <v>25</v>
      </c>
      <c r="I177" s="5">
        <v>44682</v>
      </c>
      <c r="J177" s="6">
        <v>0</v>
      </c>
      <c r="K177" s="6">
        <v>0</v>
      </c>
      <c r="L177" s="6">
        <v>10.95</v>
      </c>
      <c r="M177" s="6">
        <v>10.95</v>
      </c>
      <c r="N177" s="6">
        <v>10.95</v>
      </c>
      <c r="O177" s="6">
        <v>10.95</v>
      </c>
      <c r="P177" s="6">
        <v>88</v>
      </c>
      <c r="Q177" s="4" t="s">
        <v>26</v>
      </c>
      <c r="R177" s="4">
        <v>0</v>
      </c>
      <c r="S177" s="6">
        <v>0</v>
      </c>
      <c r="T177" s="6">
        <v>7</v>
      </c>
      <c r="U177" s="6">
        <v>63</v>
      </c>
      <c r="V177" s="6">
        <f>IF(ISERROR(VLOOKUP($S$177,'TAR FIN'!$A$1:$O$85,15,0)),0,VLOOKUP($S$177,'TAR FIN'!$A$1:$O$85,15,0))</f>
        <v>0</v>
      </c>
      <c r="W177" s="6">
        <f>IF(ISERROR(VLOOKUP($T$177,'TAR FIN'!$A$1:$O$85,15,0)),0,VLOOKUP($T$177,'TAR FIN'!$A$1:$O$85,15,0))</f>
        <v>491.01</v>
      </c>
      <c r="X177" s="6">
        <f>IF(ISERROR(VLOOKUP($U$177,'TAR FIN'!$A$1:$O$85,15,0)),0,VLOOKUP($U$177,'TAR FIN'!$A$1:$O$85,15,0))</f>
        <v>107.98</v>
      </c>
      <c r="Y177" s="6"/>
      <c r="Z177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177" s="6">
        <f>('TE BE'!$AB$13+'TE BF'!$AB$13+'TE CVA'!$AB$13)*(1-CUSTOS!$M$36)</f>
        <v>110.32774214451051</v>
      </c>
      <c r="AB177" s="6">
        <f>$K$177*$V$177</f>
        <v>0</v>
      </c>
      <c r="AC177" s="6">
        <f>$M$177*$W$177</f>
        <v>5376.5594999999994</v>
      </c>
      <c r="AD177" s="6">
        <f>$O$177*$X$177</f>
        <v>1182.3809999999999</v>
      </c>
      <c r="AE177" s="6">
        <f>$K$177*$Y$177</f>
        <v>0</v>
      </c>
      <c r="AF177" s="6">
        <f ca="1">$M$177*$Z$177</f>
        <v>5478.652662512779</v>
      </c>
      <c r="AG177" s="6">
        <f>$O$177*$AA$177</f>
        <v>1208.0887764823899</v>
      </c>
    </row>
    <row r="178" spans="1:33" ht="11.25" customHeight="1" x14ac:dyDescent="0.3">
      <c r="A178" s="4" t="s">
        <v>21</v>
      </c>
      <c r="B178" s="4" t="s">
        <v>22</v>
      </c>
      <c r="C178" s="4" t="s">
        <v>23</v>
      </c>
      <c r="D178" s="4" t="s">
        <v>24</v>
      </c>
      <c r="E178" s="4" t="s">
        <v>31</v>
      </c>
      <c r="F178" s="4" t="s">
        <v>25</v>
      </c>
      <c r="G178" s="4" t="s">
        <v>25</v>
      </c>
      <c r="H178" s="4" t="s">
        <v>25</v>
      </c>
      <c r="I178" s="5">
        <v>44713</v>
      </c>
      <c r="J178" s="6">
        <v>0</v>
      </c>
      <c r="K178" s="6">
        <v>0</v>
      </c>
      <c r="L178" s="6">
        <v>12.487</v>
      </c>
      <c r="M178" s="6">
        <v>12.487</v>
      </c>
      <c r="N178" s="6">
        <v>12.487</v>
      </c>
      <c r="O178" s="6">
        <v>12.487</v>
      </c>
      <c r="P178" s="6">
        <v>79</v>
      </c>
      <c r="Q178" s="4" t="s">
        <v>26</v>
      </c>
      <c r="R178" s="4">
        <v>0</v>
      </c>
      <c r="S178" s="6">
        <v>0</v>
      </c>
      <c r="T178" s="6">
        <v>7</v>
      </c>
      <c r="U178" s="6">
        <v>63</v>
      </c>
      <c r="V178" s="6">
        <f>IF(ISERROR(VLOOKUP($S$178,'TAR FIN'!$A$1:$O$85,15,0)),0,VLOOKUP($S$178,'TAR FIN'!$A$1:$O$85,15,0))</f>
        <v>0</v>
      </c>
      <c r="W178" s="6">
        <f>IF(ISERROR(VLOOKUP($T$178,'TAR FIN'!$A$1:$O$85,15,0)),0,VLOOKUP($T$178,'TAR FIN'!$A$1:$O$85,15,0))</f>
        <v>491.01</v>
      </c>
      <c r="X178" s="6">
        <f>IF(ISERROR(VLOOKUP($U$178,'TAR FIN'!$A$1:$O$85,15,0)),0,VLOOKUP($U$178,'TAR FIN'!$A$1:$O$85,15,0))</f>
        <v>107.98</v>
      </c>
      <c r="Y178" s="6"/>
      <c r="Z178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178" s="6">
        <f>('TE BE'!$AB$13+'TE BF'!$AB$13+'TE CVA'!$AB$13)*(1-CUSTOS!$M$36)</f>
        <v>110.32774214451051</v>
      </c>
      <c r="AB178" s="6">
        <f>$K$178*$V$178</f>
        <v>0</v>
      </c>
      <c r="AC178" s="6">
        <f>$M$178*$W$178</f>
        <v>6131.2418699999998</v>
      </c>
      <c r="AD178" s="6">
        <f>$O$178*$X$178</f>
        <v>1348.34626</v>
      </c>
      <c r="AE178" s="6">
        <f>$K$178*$Y$178</f>
        <v>0</v>
      </c>
      <c r="AF178" s="6">
        <f ca="1">$M$178*$Z$178</f>
        <v>6247.665369570509</v>
      </c>
      <c r="AG178" s="6">
        <f>$O$178*$AA$178</f>
        <v>1377.6625161585027</v>
      </c>
    </row>
    <row r="179" spans="1:33" ht="11.25" customHeight="1" x14ac:dyDescent="0.3">
      <c r="A179" s="4" t="s">
        <v>21</v>
      </c>
      <c r="B179" s="4" t="s">
        <v>22</v>
      </c>
      <c r="C179" s="4" t="s">
        <v>23</v>
      </c>
      <c r="D179" s="4" t="s">
        <v>24</v>
      </c>
      <c r="E179" s="4" t="s">
        <v>31</v>
      </c>
      <c r="F179" s="4" t="s">
        <v>25</v>
      </c>
      <c r="G179" s="4" t="s">
        <v>25</v>
      </c>
      <c r="H179" s="4" t="s">
        <v>25</v>
      </c>
      <c r="I179" s="5">
        <v>44743</v>
      </c>
      <c r="J179" s="6">
        <v>0</v>
      </c>
      <c r="K179" s="6">
        <v>0</v>
      </c>
      <c r="L179" s="6">
        <v>10.829000000000001</v>
      </c>
      <c r="M179" s="6">
        <v>10.829000000000001</v>
      </c>
      <c r="N179" s="6">
        <v>10.829000000000001</v>
      </c>
      <c r="O179" s="6">
        <v>10.829000000000001</v>
      </c>
      <c r="P179" s="6">
        <v>93</v>
      </c>
      <c r="Q179" s="4" t="s">
        <v>26</v>
      </c>
      <c r="R179" s="4">
        <v>0</v>
      </c>
      <c r="S179" s="6">
        <v>0</v>
      </c>
      <c r="T179" s="6">
        <v>7</v>
      </c>
      <c r="U179" s="6">
        <v>63</v>
      </c>
      <c r="V179" s="6">
        <f>IF(ISERROR(VLOOKUP($S$179,'TAR FIN'!$A$1:$O$85,15,0)),0,VLOOKUP($S$179,'TAR FIN'!$A$1:$O$85,15,0))</f>
        <v>0</v>
      </c>
      <c r="W179" s="6">
        <f>IF(ISERROR(VLOOKUP($T$179,'TAR FIN'!$A$1:$O$85,15,0)),0,VLOOKUP($T$179,'TAR FIN'!$A$1:$O$85,15,0))</f>
        <v>491.01</v>
      </c>
      <c r="X179" s="6">
        <f>IF(ISERROR(VLOOKUP($U$179,'TAR FIN'!$A$1:$O$85,15,0)),0,VLOOKUP($U$179,'TAR FIN'!$A$1:$O$85,15,0))</f>
        <v>107.98</v>
      </c>
      <c r="Y179" s="6"/>
      <c r="Z179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179" s="6">
        <f>('TE BE'!$AB$13+'TE BF'!$AB$13+'TE CVA'!$AB$13)*(1-CUSTOS!$M$36)</f>
        <v>110.32774214451051</v>
      </c>
      <c r="AB179" s="6">
        <f>$K$179*$V$179</f>
        <v>0</v>
      </c>
      <c r="AC179" s="6">
        <f>$M$179*$W$179</f>
        <v>5317.1472899999999</v>
      </c>
      <c r="AD179" s="6">
        <f>$O$179*$X$179</f>
        <v>1169.3154200000001</v>
      </c>
      <c r="AE179" s="6">
        <f>$K$179*$Y$179</f>
        <v>0</v>
      </c>
      <c r="AF179" s="6">
        <f ca="1">$M$179*$Z$179</f>
        <v>5418.1122997580715</v>
      </c>
      <c r="AG179" s="6">
        <f>$O$179*$AA$179</f>
        <v>1194.7391196829044</v>
      </c>
    </row>
    <row r="180" spans="1:33" ht="11.25" customHeight="1" x14ac:dyDescent="0.3">
      <c r="A180" s="4" t="s">
        <v>52</v>
      </c>
      <c r="B180" s="4" t="s">
        <v>22</v>
      </c>
      <c r="C180" s="4" t="s">
        <v>23</v>
      </c>
      <c r="D180" s="4" t="s">
        <v>24</v>
      </c>
      <c r="E180" s="4" t="s">
        <v>31</v>
      </c>
      <c r="F180" s="4" t="s">
        <v>25</v>
      </c>
      <c r="G180" s="4" t="s">
        <v>25</v>
      </c>
      <c r="H180" s="4" t="s">
        <v>25</v>
      </c>
      <c r="I180" s="5">
        <v>44774</v>
      </c>
      <c r="J180" s="6">
        <v>0</v>
      </c>
      <c r="K180" s="6">
        <v>0</v>
      </c>
      <c r="L180" s="6">
        <v>10.829000000000001</v>
      </c>
      <c r="M180" s="6">
        <v>10.829000000000001</v>
      </c>
      <c r="N180" s="6">
        <v>10.829000000000001</v>
      </c>
      <c r="O180" s="6">
        <v>10.829000000000001</v>
      </c>
      <c r="P180" s="6">
        <v>93</v>
      </c>
      <c r="Q180" s="4" t="s">
        <v>26</v>
      </c>
      <c r="R180" s="4">
        <v>0</v>
      </c>
      <c r="S180" s="6">
        <v>0</v>
      </c>
      <c r="T180" s="6">
        <v>7</v>
      </c>
      <c r="U180" s="6">
        <v>63</v>
      </c>
      <c r="V180" s="6">
        <f>IF(ISERROR(VLOOKUP($S$180,'TAR FIN'!$A$1:$O$85,15,0)),0,VLOOKUP($S$180,'TAR FIN'!$A$1:$O$85,15,0))</f>
        <v>0</v>
      </c>
      <c r="W180" s="6">
        <f>IF(ISERROR(VLOOKUP($T$180,'TAR FIN'!$A$1:$O$85,15,0)),0,VLOOKUP($T$180,'TAR FIN'!$A$1:$O$85,15,0))</f>
        <v>491.01</v>
      </c>
      <c r="X180" s="6">
        <f>IF(ISERROR(VLOOKUP($U$180,'TAR FIN'!$A$1:$O$85,15,0)),0,VLOOKUP($U$180,'TAR FIN'!$A$1:$O$85,15,0))</f>
        <v>107.98</v>
      </c>
      <c r="Y180" s="6"/>
      <c r="Z180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180" s="6">
        <f>('TE BE'!$AB$13+'TE BF'!$AB$13+'TE CVA'!$AB$13)*(1-CUSTOS!$M$36)</f>
        <v>110.32774214451051</v>
      </c>
      <c r="AB180" s="6">
        <f>$K$180*$V$180</f>
        <v>0</v>
      </c>
      <c r="AC180" s="6">
        <f>$M$180*$W$180</f>
        <v>5317.1472899999999</v>
      </c>
      <c r="AD180" s="6">
        <f>$O$180*$X$180</f>
        <v>1169.3154200000001</v>
      </c>
      <c r="AE180" s="6">
        <f>$K$180*$Y$180</f>
        <v>0</v>
      </c>
      <c r="AF180" s="6">
        <f ca="1">$M$180*$Z$180</f>
        <v>5418.1122997580715</v>
      </c>
      <c r="AG180" s="6">
        <f>$O$180*$AA$180</f>
        <v>1194.7391196829044</v>
      </c>
    </row>
    <row r="181" spans="1:33" ht="11.25" customHeight="1" x14ac:dyDescent="0.3">
      <c r="A181" s="4" t="s">
        <v>21</v>
      </c>
      <c r="B181" s="4" t="s">
        <v>22</v>
      </c>
      <c r="C181" s="4" t="s">
        <v>23</v>
      </c>
      <c r="D181" s="4" t="s">
        <v>24</v>
      </c>
      <c r="E181" s="4" t="s">
        <v>32</v>
      </c>
      <c r="F181" s="4" t="s">
        <v>25</v>
      </c>
      <c r="G181" s="4" t="s">
        <v>25</v>
      </c>
      <c r="H181" s="4" t="s">
        <v>25</v>
      </c>
      <c r="I181" s="5">
        <v>44440</v>
      </c>
      <c r="J181" s="6">
        <v>0</v>
      </c>
      <c r="K181" s="6">
        <v>0</v>
      </c>
      <c r="L181" s="6">
        <v>1.62</v>
      </c>
      <c r="M181" s="6">
        <v>1.62</v>
      </c>
      <c r="N181" s="6">
        <v>1.62</v>
      </c>
      <c r="O181" s="6">
        <v>1.62</v>
      </c>
      <c r="P181" s="6">
        <v>26</v>
      </c>
      <c r="Q181" s="4" t="s">
        <v>26</v>
      </c>
      <c r="R181" s="4">
        <v>0</v>
      </c>
      <c r="S181" s="6">
        <v>0</v>
      </c>
      <c r="T181" s="6">
        <v>35</v>
      </c>
      <c r="U181" s="6">
        <v>79</v>
      </c>
      <c r="V181" s="6">
        <f>IF(ISERROR(VLOOKUP($S$181,'TAR FIN'!$A$1:$O$85,15,0)),0,VLOOKUP($S$181,'TAR FIN'!$A$1:$O$85,15,0))</f>
        <v>0</v>
      </c>
      <c r="W181" s="6">
        <f>IF(ISERROR(VLOOKUP($T$181,'TAR FIN'!$A$1:$O$85,15,0)),0,VLOOKUP($T$181,'TAR FIN'!$A$1:$O$85,15,0))</f>
        <v>545.55999999999995</v>
      </c>
      <c r="X181" s="6">
        <f>IF(ISERROR(VLOOKUP($U$181,'TAR FIN'!$A$1:$O$85,15,0)),0,VLOOKUP($U$181,'TAR FIN'!$A$1:$O$85,15,0))</f>
        <v>119.97</v>
      </c>
      <c r="Y181" s="6"/>
      <c r="Z181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181" s="6">
        <f>('TE BE'!$AB$14+'TE BF'!$AB$14+'TE CVA'!$AB$14)*(1-CUSTOS!$M$37)</f>
        <v>122.58638016056723</v>
      </c>
      <c r="AB181" s="6">
        <f>$K$181*$V$181</f>
        <v>0</v>
      </c>
      <c r="AC181" s="6">
        <f>$M$181*$W$181</f>
        <v>883.80719999999997</v>
      </c>
      <c r="AD181" s="6">
        <f>$O$181*$X$181</f>
        <v>194.35140000000001</v>
      </c>
      <c r="AE181" s="6">
        <f>$K$181*$Y$181</f>
        <v>0</v>
      </c>
      <c r="AF181" s="6">
        <f ca="1">$M$181*$Z$181</f>
        <v>900.60043767333354</v>
      </c>
      <c r="AG181" s="6">
        <f>$O$181*$AA$181</f>
        <v>198.58993586011891</v>
      </c>
    </row>
    <row r="182" spans="1:33" ht="11.25" customHeight="1" x14ac:dyDescent="0.3">
      <c r="A182" s="4" t="s">
        <v>21</v>
      </c>
      <c r="B182" s="4" t="s">
        <v>22</v>
      </c>
      <c r="C182" s="4" t="s">
        <v>23</v>
      </c>
      <c r="D182" s="4" t="s">
        <v>24</v>
      </c>
      <c r="E182" s="4" t="s">
        <v>32</v>
      </c>
      <c r="F182" s="4" t="s">
        <v>25</v>
      </c>
      <c r="G182" s="4" t="s">
        <v>25</v>
      </c>
      <c r="H182" s="4" t="s">
        <v>25</v>
      </c>
      <c r="I182" s="5">
        <v>44470</v>
      </c>
      <c r="J182" s="6">
        <v>0</v>
      </c>
      <c r="K182" s="6">
        <v>0</v>
      </c>
      <c r="L182" s="6">
        <v>2.931</v>
      </c>
      <c r="M182" s="6">
        <v>2.931</v>
      </c>
      <c r="N182" s="6">
        <v>2.931</v>
      </c>
      <c r="O182" s="6">
        <v>2.931</v>
      </c>
      <c r="P182" s="6">
        <v>38</v>
      </c>
      <c r="Q182" s="4" t="s">
        <v>26</v>
      </c>
      <c r="R182" s="4">
        <v>0</v>
      </c>
      <c r="S182" s="6">
        <v>0</v>
      </c>
      <c r="T182" s="6">
        <v>35</v>
      </c>
      <c r="U182" s="6">
        <v>79</v>
      </c>
      <c r="V182" s="6">
        <f>IF(ISERROR(VLOOKUP($S$182,'TAR FIN'!$A$1:$O$85,15,0)),0,VLOOKUP($S$182,'TAR FIN'!$A$1:$O$85,15,0))</f>
        <v>0</v>
      </c>
      <c r="W182" s="6">
        <f>IF(ISERROR(VLOOKUP($T$182,'TAR FIN'!$A$1:$O$85,15,0)),0,VLOOKUP($T$182,'TAR FIN'!$A$1:$O$85,15,0))</f>
        <v>545.55999999999995</v>
      </c>
      <c r="X182" s="6">
        <f>IF(ISERROR(VLOOKUP($U$182,'TAR FIN'!$A$1:$O$85,15,0)),0,VLOOKUP($U$182,'TAR FIN'!$A$1:$O$85,15,0))</f>
        <v>119.97</v>
      </c>
      <c r="Y182" s="6"/>
      <c r="Z182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182" s="6">
        <f>('TE BE'!$AB$14+'TE BF'!$AB$14+'TE CVA'!$AB$14)*(1-CUSTOS!$M$37)</f>
        <v>122.58638016056723</v>
      </c>
      <c r="AB182" s="6">
        <f>$K$182*$V$182</f>
        <v>0</v>
      </c>
      <c r="AC182" s="6">
        <f>$M$182*$W$182</f>
        <v>1599.0363599999998</v>
      </c>
      <c r="AD182" s="6">
        <f>$O$182*$X$182</f>
        <v>351.63207</v>
      </c>
      <c r="AE182" s="6">
        <f>$K$182*$Y$182</f>
        <v>0</v>
      </c>
      <c r="AF182" s="6">
        <f ca="1">$M$182*$Z$182</f>
        <v>1629.4196807534202</v>
      </c>
      <c r="AG182" s="6">
        <f>$O$182*$AA$182</f>
        <v>359.30068025062258</v>
      </c>
    </row>
    <row r="183" spans="1:33" ht="11.25" customHeight="1" x14ac:dyDescent="0.3">
      <c r="A183" s="4" t="s">
        <v>21</v>
      </c>
      <c r="B183" s="4" t="s">
        <v>22</v>
      </c>
      <c r="C183" s="4" t="s">
        <v>23</v>
      </c>
      <c r="D183" s="4" t="s">
        <v>24</v>
      </c>
      <c r="E183" s="4" t="s">
        <v>32</v>
      </c>
      <c r="F183" s="4" t="s">
        <v>25</v>
      </c>
      <c r="G183" s="4" t="s">
        <v>25</v>
      </c>
      <c r="H183" s="4" t="s">
        <v>25</v>
      </c>
      <c r="I183" s="5">
        <v>44501</v>
      </c>
      <c r="J183" s="6">
        <v>0</v>
      </c>
      <c r="K183" s="6">
        <v>0</v>
      </c>
      <c r="L183" s="6">
        <v>2.2109999999999999</v>
      </c>
      <c r="M183" s="6">
        <v>2.2109999999999999</v>
      </c>
      <c r="N183" s="6">
        <v>2.2109999999999999</v>
      </c>
      <c r="O183" s="6">
        <v>2.2109999999999999</v>
      </c>
      <c r="P183" s="6">
        <v>31</v>
      </c>
      <c r="Q183" s="4" t="s">
        <v>26</v>
      </c>
      <c r="R183" s="4">
        <v>0</v>
      </c>
      <c r="S183" s="6">
        <v>0</v>
      </c>
      <c r="T183" s="6">
        <v>35</v>
      </c>
      <c r="U183" s="6">
        <v>79</v>
      </c>
      <c r="V183" s="6">
        <f>IF(ISERROR(VLOOKUP($S$183,'TAR FIN'!$A$1:$O$85,15,0)),0,VLOOKUP($S$183,'TAR FIN'!$A$1:$O$85,15,0))</f>
        <v>0</v>
      </c>
      <c r="W183" s="6">
        <f>IF(ISERROR(VLOOKUP($T$183,'TAR FIN'!$A$1:$O$85,15,0)),0,VLOOKUP($T$183,'TAR FIN'!$A$1:$O$85,15,0))</f>
        <v>545.55999999999995</v>
      </c>
      <c r="X183" s="6">
        <f>IF(ISERROR(VLOOKUP($U$183,'TAR FIN'!$A$1:$O$85,15,0)),0,VLOOKUP($U$183,'TAR FIN'!$A$1:$O$85,15,0))</f>
        <v>119.97</v>
      </c>
      <c r="Y183" s="6"/>
      <c r="Z183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183" s="6">
        <f>('TE BE'!$AB$14+'TE BF'!$AB$14+'TE CVA'!$AB$14)*(1-CUSTOS!$M$37)</f>
        <v>122.58638016056723</v>
      </c>
      <c r="AB183" s="6">
        <f>$K$183*$V$183</f>
        <v>0</v>
      </c>
      <c r="AC183" s="6">
        <f>$M$183*$W$183</f>
        <v>1206.2331599999998</v>
      </c>
      <c r="AD183" s="6">
        <f>$O$183*$X$183</f>
        <v>265.25367</v>
      </c>
      <c r="AE183" s="6">
        <f>$K$183*$Y$183</f>
        <v>0</v>
      </c>
      <c r="AF183" s="6">
        <f ca="1">$M$183*$Z$183</f>
        <v>1229.1528195652718</v>
      </c>
      <c r="AG183" s="6">
        <f>$O$183*$AA$183</f>
        <v>271.0384865350141</v>
      </c>
    </row>
    <row r="184" spans="1:33" ht="11.25" customHeight="1" x14ac:dyDescent="0.3">
      <c r="A184" s="4" t="s">
        <v>21</v>
      </c>
      <c r="B184" s="4" t="s">
        <v>22</v>
      </c>
      <c r="C184" s="4" t="s">
        <v>23</v>
      </c>
      <c r="D184" s="4" t="s">
        <v>24</v>
      </c>
      <c r="E184" s="4" t="s">
        <v>32</v>
      </c>
      <c r="F184" s="4" t="s">
        <v>25</v>
      </c>
      <c r="G184" s="4" t="s">
        <v>25</v>
      </c>
      <c r="H184" s="4" t="s">
        <v>25</v>
      </c>
      <c r="I184" s="5">
        <v>44531</v>
      </c>
      <c r="J184" s="6">
        <v>0</v>
      </c>
      <c r="K184" s="6">
        <v>0</v>
      </c>
      <c r="L184" s="6">
        <v>2.2970000000000002</v>
      </c>
      <c r="M184" s="6">
        <v>2.2970000000000002</v>
      </c>
      <c r="N184" s="6">
        <v>2.2970000000000002</v>
      </c>
      <c r="O184" s="6">
        <v>2.2970000000000002</v>
      </c>
      <c r="P184" s="6">
        <v>34</v>
      </c>
      <c r="Q184" s="4" t="s">
        <v>26</v>
      </c>
      <c r="R184" s="4">
        <v>0</v>
      </c>
      <c r="S184" s="6">
        <v>0</v>
      </c>
      <c r="T184" s="6">
        <v>35</v>
      </c>
      <c r="U184" s="6">
        <v>79</v>
      </c>
      <c r="V184" s="6">
        <f>IF(ISERROR(VLOOKUP($S$184,'TAR FIN'!$A$1:$O$85,15,0)),0,VLOOKUP($S$184,'TAR FIN'!$A$1:$O$85,15,0))</f>
        <v>0</v>
      </c>
      <c r="W184" s="6">
        <f>IF(ISERROR(VLOOKUP($T$184,'TAR FIN'!$A$1:$O$85,15,0)),0,VLOOKUP($T$184,'TAR FIN'!$A$1:$O$85,15,0))</f>
        <v>545.55999999999995</v>
      </c>
      <c r="X184" s="6">
        <f>IF(ISERROR(VLOOKUP($U$184,'TAR FIN'!$A$1:$O$85,15,0)),0,VLOOKUP($U$184,'TAR FIN'!$A$1:$O$85,15,0))</f>
        <v>119.97</v>
      </c>
      <c r="Y184" s="6"/>
      <c r="Z184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184" s="6">
        <f>('TE BE'!$AB$14+'TE BF'!$AB$14+'TE CVA'!$AB$14)*(1-CUSTOS!$M$37)</f>
        <v>122.58638016056723</v>
      </c>
      <c r="AB184" s="6">
        <f>$K$184*$V$184</f>
        <v>0</v>
      </c>
      <c r="AC184" s="6">
        <f>$M$184*$W$184</f>
        <v>1253.1513199999999</v>
      </c>
      <c r="AD184" s="6">
        <f>$O$184*$X$184</f>
        <v>275.57109000000003</v>
      </c>
      <c r="AE184" s="6">
        <f>$K$184*$Y$184</f>
        <v>0</v>
      </c>
      <c r="AF184" s="6">
        <f ca="1">$M$184*$Z$184</f>
        <v>1276.9624724294119</v>
      </c>
      <c r="AG184" s="6">
        <f>$O$184*$AA$184</f>
        <v>281.58091522882296</v>
      </c>
    </row>
    <row r="185" spans="1:33" ht="11.25" customHeight="1" x14ac:dyDescent="0.3">
      <c r="A185" s="4" t="s">
        <v>21</v>
      </c>
      <c r="B185" s="4" t="s">
        <v>22</v>
      </c>
      <c r="C185" s="4" t="s">
        <v>23</v>
      </c>
      <c r="D185" s="4" t="s">
        <v>24</v>
      </c>
      <c r="E185" s="4" t="s">
        <v>32</v>
      </c>
      <c r="F185" s="4" t="s">
        <v>25</v>
      </c>
      <c r="G185" s="4" t="s">
        <v>25</v>
      </c>
      <c r="H185" s="4" t="s">
        <v>25</v>
      </c>
      <c r="I185" s="5">
        <v>44562</v>
      </c>
      <c r="J185" s="6">
        <v>0</v>
      </c>
      <c r="K185" s="6">
        <v>0</v>
      </c>
      <c r="L185" s="6">
        <v>4.3019999999999996</v>
      </c>
      <c r="M185" s="6">
        <v>4.3019999999999996</v>
      </c>
      <c r="N185" s="6">
        <v>4.3019999999999996</v>
      </c>
      <c r="O185" s="6">
        <v>4.3019999999999996</v>
      </c>
      <c r="P185" s="6">
        <v>48</v>
      </c>
      <c r="Q185" s="4" t="s">
        <v>26</v>
      </c>
      <c r="R185" s="4">
        <v>0</v>
      </c>
      <c r="S185" s="6">
        <v>0</v>
      </c>
      <c r="T185" s="6">
        <v>35</v>
      </c>
      <c r="U185" s="6">
        <v>79</v>
      </c>
      <c r="V185" s="6">
        <f>IF(ISERROR(VLOOKUP($S$185,'TAR FIN'!$A$1:$O$85,15,0)),0,VLOOKUP($S$185,'TAR FIN'!$A$1:$O$85,15,0))</f>
        <v>0</v>
      </c>
      <c r="W185" s="6">
        <f>IF(ISERROR(VLOOKUP($T$185,'TAR FIN'!$A$1:$O$85,15,0)),0,VLOOKUP($T$185,'TAR FIN'!$A$1:$O$85,15,0))</f>
        <v>545.55999999999995</v>
      </c>
      <c r="X185" s="6">
        <f>IF(ISERROR(VLOOKUP($U$185,'TAR FIN'!$A$1:$O$85,15,0)),0,VLOOKUP($U$185,'TAR FIN'!$A$1:$O$85,15,0))</f>
        <v>119.97</v>
      </c>
      <c r="Y185" s="6"/>
      <c r="Z185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185" s="6">
        <f>('TE BE'!$AB$14+'TE BF'!$AB$14+'TE CVA'!$AB$14)*(1-CUSTOS!$M$37)</f>
        <v>122.58638016056723</v>
      </c>
      <c r="AB185" s="6">
        <f>$K$185*$V$185</f>
        <v>0</v>
      </c>
      <c r="AC185" s="6">
        <f>$M$185*$W$185</f>
        <v>2346.9991199999995</v>
      </c>
      <c r="AD185" s="6">
        <f>$O$185*$X$185</f>
        <v>516.11093999999991</v>
      </c>
      <c r="AE185" s="6">
        <f>$K$185*$Y$185</f>
        <v>0</v>
      </c>
      <c r="AF185" s="6">
        <f ca="1">$M$185*$Z$185</f>
        <v>2391.5944955991854</v>
      </c>
      <c r="AG185" s="6">
        <f>$O$185*$AA$185</f>
        <v>527.36660745076017</v>
      </c>
    </row>
    <row r="186" spans="1:33" ht="11.25" customHeight="1" x14ac:dyDescent="0.3">
      <c r="A186" s="4" t="s">
        <v>21</v>
      </c>
      <c r="B186" s="4" t="s">
        <v>22</v>
      </c>
      <c r="C186" s="4" t="s">
        <v>23</v>
      </c>
      <c r="D186" s="4" t="s">
        <v>24</v>
      </c>
      <c r="E186" s="4" t="s">
        <v>32</v>
      </c>
      <c r="F186" s="4" t="s">
        <v>25</v>
      </c>
      <c r="G186" s="4" t="s">
        <v>25</v>
      </c>
      <c r="H186" s="4" t="s">
        <v>25</v>
      </c>
      <c r="I186" s="5">
        <v>44593</v>
      </c>
      <c r="J186" s="6">
        <v>0</v>
      </c>
      <c r="K186" s="6">
        <v>0</v>
      </c>
      <c r="L186" s="6">
        <v>7.4379999999999997</v>
      </c>
      <c r="M186" s="6">
        <v>7.4379999999999997</v>
      </c>
      <c r="N186" s="6">
        <v>7.4379999999999997</v>
      </c>
      <c r="O186" s="6">
        <v>7.4379999999999997</v>
      </c>
      <c r="P186" s="6">
        <v>58</v>
      </c>
      <c r="Q186" s="4" t="s">
        <v>26</v>
      </c>
      <c r="R186" s="4">
        <v>0</v>
      </c>
      <c r="S186" s="6">
        <v>0</v>
      </c>
      <c r="T186" s="6">
        <v>35</v>
      </c>
      <c r="U186" s="6">
        <v>79</v>
      </c>
      <c r="V186" s="6">
        <f>IF(ISERROR(VLOOKUP($S$186,'TAR FIN'!$A$1:$O$85,15,0)),0,VLOOKUP($S$186,'TAR FIN'!$A$1:$O$85,15,0))</f>
        <v>0</v>
      </c>
      <c r="W186" s="6">
        <f>IF(ISERROR(VLOOKUP($T$186,'TAR FIN'!$A$1:$O$85,15,0)),0,VLOOKUP($T$186,'TAR FIN'!$A$1:$O$85,15,0))</f>
        <v>545.55999999999995</v>
      </c>
      <c r="X186" s="6">
        <f>IF(ISERROR(VLOOKUP($U$186,'TAR FIN'!$A$1:$O$85,15,0)),0,VLOOKUP($U$186,'TAR FIN'!$A$1:$O$85,15,0))</f>
        <v>119.97</v>
      </c>
      <c r="Y186" s="6"/>
      <c r="Z186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186" s="6">
        <f>('TE BE'!$AB$14+'TE BF'!$AB$14+'TE CVA'!$AB$14)*(1-CUSTOS!$M$37)</f>
        <v>122.58638016056723</v>
      </c>
      <c r="AB186" s="6">
        <f>$K$186*$V$186</f>
        <v>0</v>
      </c>
      <c r="AC186" s="6">
        <f>$M$186*$W$186</f>
        <v>4057.8752799999993</v>
      </c>
      <c r="AD186" s="6">
        <f>$O$186*$X$186</f>
        <v>892.33686</v>
      </c>
      <c r="AE186" s="6">
        <f>$K$186*$Y$186</f>
        <v>0</v>
      </c>
      <c r="AF186" s="6">
        <f ca="1">$M$186*$Z$186</f>
        <v>4134.9790465520091</v>
      </c>
      <c r="AG186" s="6">
        <f>$O$186*$AA$186</f>
        <v>911.79749563429903</v>
      </c>
    </row>
    <row r="187" spans="1:33" ht="11.25" customHeight="1" x14ac:dyDescent="0.3">
      <c r="A187" s="4" t="s">
        <v>21</v>
      </c>
      <c r="B187" s="4" t="s">
        <v>22</v>
      </c>
      <c r="C187" s="4" t="s">
        <v>23</v>
      </c>
      <c r="D187" s="4" t="s">
        <v>24</v>
      </c>
      <c r="E187" s="4" t="s">
        <v>32</v>
      </c>
      <c r="F187" s="4" t="s">
        <v>25</v>
      </c>
      <c r="G187" s="4" t="s">
        <v>25</v>
      </c>
      <c r="H187" s="4" t="s">
        <v>25</v>
      </c>
      <c r="I187" s="5">
        <v>44621</v>
      </c>
      <c r="J187" s="6">
        <v>0</v>
      </c>
      <c r="K187" s="6">
        <v>0</v>
      </c>
      <c r="L187" s="6">
        <v>5.5119999999999996</v>
      </c>
      <c r="M187" s="6">
        <v>5.5119999999999996</v>
      </c>
      <c r="N187" s="6">
        <v>5.5119999999999996</v>
      </c>
      <c r="O187" s="6">
        <v>5.5119999999999996</v>
      </c>
      <c r="P187" s="6">
        <v>51</v>
      </c>
      <c r="Q187" s="4" t="s">
        <v>26</v>
      </c>
      <c r="R187" s="4">
        <v>0</v>
      </c>
      <c r="S187" s="6">
        <v>0</v>
      </c>
      <c r="T187" s="6">
        <v>35</v>
      </c>
      <c r="U187" s="6">
        <v>79</v>
      </c>
      <c r="V187" s="6">
        <f>IF(ISERROR(VLOOKUP($S$187,'TAR FIN'!$A$1:$O$85,15,0)),0,VLOOKUP($S$187,'TAR FIN'!$A$1:$O$85,15,0))</f>
        <v>0</v>
      </c>
      <c r="W187" s="6">
        <f>IF(ISERROR(VLOOKUP($T$187,'TAR FIN'!$A$1:$O$85,15,0)),0,VLOOKUP($T$187,'TAR FIN'!$A$1:$O$85,15,0))</f>
        <v>545.55999999999995</v>
      </c>
      <c r="X187" s="6">
        <f>IF(ISERROR(VLOOKUP($U$187,'TAR FIN'!$A$1:$O$85,15,0)),0,VLOOKUP($U$187,'TAR FIN'!$A$1:$O$85,15,0))</f>
        <v>119.97</v>
      </c>
      <c r="Y187" s="6"/>
      <c r="Z187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187" s="6">
        <f>('TE BE'!$AB$14+'TE BF'!$AB$14+'TE CVA'!$AB$14)*(1-CUSTOS!$M$37)</f>
        <v>122.58638016056723</v>
      </c>
      <c r="AB187" s="6">
        <f>$K$187*$V$187</f>
        <v>0</v>
      </c>
      <c r="AC187" s="6">
        <f>$M$187*$W$187</f>
        <v>3007.1267199999993</v>
      </c>
      <c r="AD187" s="6">
        <f>$O$187*$X$187</f>
        <v>661.27463999999998</v>
      </c>
      <c r="AE187" s="6">
        <f>$K$187*$Y$187</f>
        <v>0</v>
      </c>
      <c r="AF187" s="6">
        <f ca="1">$M$187*$Z$187</f>
        <v>3064.2651928737123</v>
      </c>
      <c r="AG187" s="6">
        <f>$O$187*$AA$187</f>
        <v>675.6961274450465</v>
      </c>
    </row>
    <row r="188" spans="1:33" ht="11.25" customHeight="1" x14ac:dyDescent="0.3">
      <c r="A188" s="4" t="s">
        <v>21</v>
      </c>
      <c r="B188" s="4" t="s">
        <v>22</v>
      </c>
      <c r="C188" s="4" t="s">
        <v>23</v>
      </c>
      <c r="D188" s="4" t="s">
        <v>24</v>
      </c>
      <c r="E188" s="4" t="s">
        <v>32</v>
      </c>
      <c r="F188" s="4" t="s">
        <v>25</v>
      </c>
      <c r="G188" s="4" t="s">
        <v>25</v>
      </c>
      <c r="H188" s="4" t="s">
        <v>25</v>
      </c>
      <c r="I188" s="5">
        <v>44652</v>
      </c>
      <c r="J188" s="6">
        <v>0</v>
      </c>
      <c r="K188" s="6">
        <v>0</v>
      </c>
      <c r="L188" s="6">
        <v>3.56</v>
      </c>
      <c r="M188" s="6">
        <v>3.56</v>
      </c>
      <c r="N188" s="6">
        <v>3.56</v>
      </c>
      <c r="O188" s="6">
        <v>3.56</v>
      </c>
      <c r="P188" s="6">
        <v>49</v>
      </c>
      <c r="Q188" s="4" t="s">
        <v>26</v>
      </c>
      <c r="R188" s="4">
        <v>0</v>
      </c>
      <c r="S188" s="6">
        <v>0</v>
      </c>
      <c r="T188" s="6">
        <v>35</v>
      </c>
      <c r="U188" s="6">
        <v>79</v>
      </c>
      <c r="V188" s="6">
        <f>IF(ISERROR(VLOOKUP($S$188,'TAR FIN'!$A$1:$O$85,15,0)),0,VLOOKUP($S$188,'TAR FIN'!$A$1:$O$85,15,0))</f>
        <v>0</v>
      </c>
      <c r="W188" s="6">
        <f>IF(ISERROR(VLOOKUP($T$188,'TAR FIN'!$A$1:$O$85,15,0)),0,VLOOKUP($T$188,'TAR FIN'!$A$1:$O$85,15,0))</f>
        <v>545.55999999999995</v>
      </c>
      <c r="X188" s="6">
        <f>IF(ISERROR(VLOOKUP($U$188,'TAR FIN'!$A$1:$O$85,15,0)),0,VLOOKUP($U$188,'TAR FIN'!$A$1:$O$85,15,0))</f>
        <v>119.97</v>
      </c>
      <c r="Y188" s="6"/>
      <c r="Z188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188" s="6">
        <f>('TE BE'!$AB$14+'TE BF'!$AB$14+'TE CVA'!$AB$14)*(1-CUSTOS!$M$37)</f>
        <v>122.58638016056723</v>
      </c>
      <c r="AB188" s="6">
        <f>$K$188*$V$188</f>
        <v>0</v>
      </c>
      <c r="AC188" s="6">
        <f>$M$188*$W$188</f>
        <v>1942.1935999999998</v>
      </c>
      <c r="AD188" s="6">
        <f>$O$188*$X$188</f>
        <v>427.09320000000002</v>
      </c>
      <c r="AE188" s="6">
        <f>$K$188*$Y$188</f>
        <v>0</v>
      </c>
      <c r="AF188" s="6">
        <f ca="1">$M$188*$Z$188</f>
        <v>1979.0972580969551</v>
      </c>
      <c r="AG188" s="6">
        <f>$O$188*$AA$188</f>
        <v>436.40751337161936</v>
      </c>
    </row>
    <row r="189" spans="1:33" ht="11.25" customHeight="1" x14ac:dyDescent="0.3">
      <c r="A189" s="4" t="s">
        <v>21</v>
      </c>
      <c r="B189" s="4" t="s">
        <v>22</v>
      </c>
      <c r="C189" s="4" t="s">
        <v>23</v>
      </c>
      <c r="D189" s="4" t="s">
        <v>24</v>
      </c>
      <c r="E189" s="4" t="s">
        <v>32</v>
      </c>
      <c r="F189" s="4" t="s">
        <v>25</v>
      </c>
      <c r="G189" s="4" t="s">
        <v>25</v>
      </c>
      <c r="H189" s="4" t="s">
        <v>25</v>
      </c>
      <c r="I189" s="5">
        <v>44682</v>
      </c>
      <c r="J189" s="6">
        <v>0</v>
      </c>
      <c r="K189" s="6">
        <v>0</v>
      </c>
      <c r="L189" s="6">
        <v>2.9620000000000002</v>
      </c>
      <c r="M189" s="6">
        <v>2.9620000000000002</v>
      </c>
      <c r="N189" s="6">
        <v>2.9620000000000002</v>
      </c>
      <c r="O189" s="6">
        <v>2.9620000000000002</v>
      </c>
      <c r="P189" s="6">
        <v>51</v>
      </c>
      <c r="Q189" s="4" t="s">
        <v>26</v>
      </c>
      <c r="R189" s="4">
        <v>0</v>
      </c>
      <c r="S189" s="6">
        <v>0</v>
      </c>
      <c r="T189" s="6">
        <v>35</v>
      </c>
      <c r="U189" s="6">
        <v>79</v>
      </c>
      <c r="V189" s="6">
        <f>IF(ISERROR(VLOOKUP($S$189,'TAR FIN'!$A$1:$O$85,15,0)),0,VLOOKUP($S$189,'TAR FIN'!$A$1:$O$85,15,0))</f>
        <v>0</v>
      </c>
      <c r="W189" s="6">
        <f>IF(ISERROR(VLOOKUP($T$189,'TAR FIN'!$A$1:$O$85,15,0)),0,VLOOKUP($T$189,'TAR FIN'!$A$1:$O$85,15,0))</f>
        <v>545.55999999999995</v>
      </c>
      <c r="X189" s="6">
        <f>IF(ISERROR(VLOOKUP($U$189,'TAR FIN'!$A$1:$O$85,15,0)),0,VLOOKUP($U$189,'TAR FIN'!$A$1:$O$85,15,0))</f>
        <v>119.97</v>
      </c>
      <c r="Y189" s="6"/>
      <c r="Z189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189" s="6">
        <f>('TE BE'!$AB$14+'TE BF'!$AB$14+'TE CVA'!$AB$14)*(1-CUSTOS!$M$37)</f>
        <v>122.58638016056723</v>
      </c>
      <c r="AB189" s="6">
        <f>$K$189*$V$189</f>
        <v>0</v>
      </c>
      <c r="AC189" s="6">
        <f>$M$189*$W$189</f>
        <v>1615.9487199999999</v>
      </c>
      <c r="AD189" s="6">
        <f>$O$189*$X$189</f>
        <v>355.35114000000004</v>
      </c>
      <c r="AE189" s="6">
        <f>$K$189*$Y$189</f>
        <v>0</v>
      </c>
      <c r="AF189" s="6">
        <f ca="1">$M$189*$Z$189</f>
        <v>1646.6533928323543</v>
      </c>
      <c r="AG189" s="6">
        <f>$O$189*$AA$189</f>
        <v>363.10085803560014</v>
      </c>
    </row>
    <row r="190" spans="1:33" ht="11.25" customHeight="1" x14ac:dyDescent="0.3">
      <c r="A190" s="4" t="s">
        <v>21</v>
      </c>
      <c r="B190" s="4" t="s">
        <v>22</v>
      </c>
      <c r="C190" s="4" t="s">
        <v>23</v>
      </c>
      <c r="D190" s="4" t="s">
        <v>24</v>
      </c>
      <c r="E190" s="4" t="s">
        <v>32</v>
      </c>
      <c r="F190" s="4" t="s">
        <v>25</v>
      </c>
      <c r="G190" s="4" t="s">
        <v>25</v>
      </c>
      <c r="H190" s="4" t="s">
        <v>25</v>
      </c>
      <c r="I190" s="5">
        <v>44713</v>
      </c>
      <c r="J190" s="6">
        <v>0</v>
      </c>
      <c r="K190" s="6">
        <v>0</v>
      </c>
      <c r="L190" s="6">
        <v>6.2949999999999999</v>
      </c>
      <c r="M190" s="6">
        <v>6.2949999999999999</v>
      </c>
      <c r="N190" s="6">
        <v>6.2949999999999999</v>
      </c>
      <c r="O190" s="6">
        <v>6.2949999999999999</v>
      </c>
      <c r="P190" s="6">
        <v>65</v>
      </c>
      <c r="Q190" s="4" t="s">
        <v>26</v>
      </c>
      <c r="R190" s="4">
        <v>0</v>
      </c>
      <c r="S190" s="6">
        <v>0</v>
      </c>
      <c r="T190" s="6">
        <v>35</v>
      </c>
      <c r="U190" s="6">
        <v>79</v>
      </c>
      <c r="V190" s="6">
        <f>IF(ISERROR(VLOOKUP($S$190,'TAR FIN'!$A$1:$O$85,15,0)),0,VLOOKUP($S$190,'TAR FIN'!$A$1:$O$85,15,0))</f>
        <v>0</v>
      </c>
      <c r="W190" s="6">
        <f>IF(ISERROR(VLOOKUP($T$190,'TAR FIN'!$A$1:$O$85,15,0)),0,VLOOKUP($T$190,'TAR FIN'!$A$1:$O$85,15,0))</f>
        <v>545.55999999999995</v>
      </c>
      <c r="X190" s="6">
        <f>IF(ISERROR(VLOOKUP($U$190,'TAR FIN'!$A$1:$O$85,15,0)),0,VLOOKUP($U$190,'TAR FIN'!$A$1:$O$85,15,0))</f>
        <v>119.97</v>
      </c>
      <c r="Y190" s="6"/>
      <c r="Z190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190" s="6">
        <f>('TE BE'!$AB$14+'TE BF'!$AB$14+'TE CVA'!$AB$14)*(1-CUSTOS!$M$37)</f>
        <v>122.58638016056723</v>
      </c>
      <c r="AB190" s="6">
        <f>$K$190*$V$190</f>
        <v>0</v>
      </c>
      <c r="AC190" s="6">
        <f>$M$190*$W$190</f>
        <v>3434.3001999999997</v>
      </c>
      <c r="AD190" s="6">
        <f>$O$190*$X$190</f>
        <v>755.21114999999998</v>
      </c>
      <c r="AE190" s="6">
        <f>$K$190*$Y$190</f>
        <v>0</v>
      </c>
      <c r="AF190" s="6">
        <f ca="1">$M$190*$Z$190</f>
        <v>3499.5554044158239</v>
      </c>
      <c r="AG190" s="6">
        <f>$O$190*$AA$190</f>
        <v>771.68126311077071</v>
      </c>
    </row>
    <row r="191" spans="1:33" ht="11.25" customHeight="1" x14ac:dyDescent="0.3">
      <c r="A191" s="4" t="s">
        <v>21</v>
      </c>
      <c r="B191" s="4" t="s">
        <v>22</v>
      </c>
      <c r="C191" s="4" t="s">
        <v>23</v>
      </c>
      <c r="D191" s="4" t="s">
        <v>24</v>
      </c>
      <c r="E191" s="4" t="s">
        <v>32</v>
      </c>
      <c r="F191" s="4" t="s">
        <v>25</v>
      </c>
      <c r="G191" s="4" t="s">
        <v>25</v>
      </c>
      <c r="H191" s="4" t="s">
        <v>25</v>
      </c>
      <c r="I191" s="5">
        <v>44743</v>
      </c>
      <c r="J191" s="6">
        <v>0</v>
      </c>
      <c r="K191" s="6">
        <v>0</v>
      </c>
      <c r="L191" s="6">
        <v>3.0920000000000001</v>
      </c>
      <c r="M191" s="6">
        <v>3.0920000000000001</v>
      </c>
      <c r="N191" s="6">
        <v>3.0920000000000001</v>
      </c>
      <c r="O191" s="6">
        <v>3.0920000000000001</v>
      </c>
      <c r="P191" s="6">
        <v>47</v>
      </c>
      <c r="Q191" s="4" t="s">
        <v>26</v>
      </c>
      <c r="R191" s="4">
        <v>0</v>
      </c>
      <c r="S191" s="6">
        <v>0</v>
      </c>
      <c r="T191" s="6">
        <v>35</v>
      </c>
      <c r="U191" s="6">
        <v>79</v>
      </c>
      <c r="V191" s="6">
        <f>IF(ISERROR(VLOOKUP($S$191,'TAR FIN'!$A$1:$O$85,15,0)),0,VLOOKUP($S$191,'TAR FIN'!$A$1:$O$85,15,0))</f>
        <v>0</v>
      </c>
      <c r="W191" s="6">
        <f>IF(ISERROR(VLOOKUP($T$191,'TAR FIN'!$A$1:$O$85,15,0)),0,VLOOKUP($T$191,'TAR FIN'!$A$1:$O$85,15,0))</f>
        <v>545.55999999999995</v>
      </c>
      <c r="X191" s="6">
        <f>IF(ISERROR(VLOOKUP($U$191,'TAR FIN'!$A$1:$O$85,15,0)),0,VLOOKUP($U$191,'TAR FIN'!$A$1:$O$85,15,0))</f>
        <v>119.97</v>
      </c>
      <c r="Y191" s="6"/>
      <c r="Z191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191" s="6">
        <f>('TE BE'!$AB$14+'TE BF'!$AB$14+'TE CVA'!$AB$14)*(1-CUSTOS!$M$37)</f>
        <v>122.58638016056723</v>
      </c>
      <c r="AB191" s="6">
        <f>$K$191*$V$191</f>
        <v>0</v>
      </c>
      <c r="AC191" s="6">
        <f>$M$191*$W$191</f>
        <v>1686.8715199999999</v>
      </c>
      <c r="AD191" s="6">
        <f>$O$191*$X$191</f>
        <v>370.94724000000002</v>
      </c>
      <c r="AE191" s="6">
        <f>$K$191*$Y$191</f>
        <v>0</v>
      </c>
      <c r="AF191" s="6">
        <f ca="1">$M$191*$Z$191</f>
        <v>1718.9237983246589</v>
      </c>
      <c r="AG191" s="6">
        <f>$O$191*$AA$191</f>
        <v>379.0370874564739</v>
      </c>
    </row>
    <row r="192" spans="1:33" ht="11.25" customHeight="1" x14ac:dyDescent="0.3">
      <c r="A192" s="4" t="s">
        <v>52</v>
      </c>
      <c r="B192" s="4" t="s">
        <v>22</v>
      </c>
      <c r="C192" s="4" t="s">
        <v>23</v>
      </c>
      <c r="D192" s="4" t="s">
        <v>24</v>
      </c>
      <c r="E192" s="4" t="s">
        <v>32</v>
      </c>
      <c r="F192" s="4" t="s">
        <v>25</v>
      </c>
      <c r="G192" s="4" t="s">
        <v>25</v>
      </c>
      <c r="H192" s="4" t="s">
        <v>25</v>
      </c>
      <c r="I192" s="5">
        <v>44774</v>
      </c>
      <c r="J192" s="6">
        <v>0</v>
      </c>
      <c r="K192" s="6">
        <v>0</v>
      </c>
      <c r="L192" s="6">
        <v>3.0920000000000001</v>
      </c>
      <c r="M192" s="6">
        <v>3.0920000000000001</v>
      </c>
      <c r="N192" s="6">
        <v>3.0920000000000001</v>
      </c>
      <c r="O192" s="6">
        <v>3.0920000000000001</v>
      </c>
      <c r="P192" s="6">
        <v>47</v>
      </c>
      <c r="Q192" s="4" t="s">
        <v>26</v>
      </c>
      <c r="R192" s="4">
        <v>0</v>
      </c>
      <c r="S192" s="6">
        <v>0</v>
      </c>
      <c r="T192" s="6">
        <v>35</v>
      </c>
      <c r="U192" s="6">
        <v>79</v>
      </c>
      <c r="V192" s="6">
        <f>IF(ISERROR(VLOOKUP($S$192,'TAR FIN'!$A$1:$O$85,15,0)),0,VLOOKUP($S$192,'TAR FIN'!$A$1:$O$85,15,0))</f>
        <v>0</v>
      </c>
      <c r="W192" s="6">
        <f>IF(ISERROR(VLOOKUP($T$192,'TAR FIN'!$A$1:$O$85,15,0)),0,VLOOKUP($T$192,'TAR FIN'!$A$1:$O$85,15,0))</f>
        <v>545.55999999999995</v>
      </c>
      <c r="X192" s="6">
        <f>IF(ISERROR(VLOOKUP($U$192,'TAR FIN'!$A$1:$O$85,15,0)),0,VLOOKUP($U$192,'TAR FIN'!$A$1:$O$85,15,0))</f>
        <v>119.97</v>
      </c>
      <c r="Y192" s="6"/>
      <c r="Z192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192" s="6">
        <f>('TE BE'!$AB$14+'TE BF'!$AB$14+'TE CVA'!$AB$14)*(1-CUSTOS!$M$37)</f>
        <v>122.58638016056723</v>
      </c>
      <c r="AB192" s="6">
        <f>$K$192*$V$192</f>
        <v>0</v>
      </c>
      <c r="AC192" s="6">
        <f>$M$192*$W$192</f>
        <v>1686.8715199999999</v>
      </c>
      <c r="AD192" s="6">
        <f>$O$192*$X$192</f>
        <v>370.94724000000002</v>
      </c>
      <c r="AE192" s="6">
        <f>$K$192*$Y$192</f>
        <v>0</v>
      </c>
      <c r="AF192" s="6">
        <f ca="1">$M$192*$Z$192</f>
        <v>1718.9237983246589</v>
      </c>
      <c r="AG192" s="6">
        <f>$O$192*$AA$192</f>
        <v>379.0370874564739</v>
      </c>
    </row>
    <row r="193" spans="1:33" ht="11.25" customHeight="1" x14ac:dyDescent="0.3">
      <c r="A193" s="4" t="s">
        <v>21</v>
      </c>
      <c r="B193" s="4" t="s">
        <v>42</v>
      </c>
      <c r="C193" s="4" t="s">
        <v>23</v>
      </c>
      <c r="D193" s="4" t="s">
        <v>43</v>
      </c>
      <c r="E193" s="4" t="s">
        <v>25</v>
      </c>
      <c r="F193" s="4" t="s">
        <v>25</v>
      </c>
      <c r="G193" s="4" t="s">
        <v>25</v>
      </c>
      <c r="H193" s="4" t="s">
        <v>25</v>
      </c>
      <c r="I193" s="5">
        <v>44440</v>
      </c>
      <c r="J193" s="6">
        <v>0</v>
      </c>
      <c r="K193" s="6">
        <v>0</v>
      </c>
      <c r="L193" s="6">
        <v>236.78899999999999</v>
      </c>
      <c r="M193" s="6">
        <v>236.78899999999999</v>
      </c>
      <c r="N193" s="6">
        <v>236.78899999999999</v>
      </c>
      <c r="O193" s="6">
        <v>236.78899999999999</v>
      </c>
      <c r="P193" s="6">
        <v>716</v>
      </c>
      <c r="Q193" s="4" t="s">
        <v>26</v>
      </c>
      <c r="R193" s="4">
        <v>0</v>
      </c>
      <c r="S193" s="6">
        <v>0</v>
      </c>
      <c r="T193" s="6">
        <v>49</v>
      </c>
      <c r="U193" s="6">
        <v>59</v>
      </c>
      <c r="V193" s="6">
        <f>IF(ISERROR(VLOOKUP($S$193,'TAR FIN'!$A$1:$O$85,15,0)),0,VLOOKUP($S$193,'TAR FIN'!$A$1:$O$85,15,0))</f>
        <v>0</v>
      </c>
      <c r="W193" s="6">
        <f>IF(ISERROR(VLOOKUP($T$193,'TAR FIN'!$A$1:$O$85,15,0)),0,VLOOKUP($T$193,'TAR FIN'!$A$1:$O$85,15,0))</f>
        <v>535.97</v>
      </c>
      <c r="X193" s="6">
        <f>IF(ISERROR(VLOOKUP($U$193,'TAR FIN'!$A$1:$O$85,15,0)),0,VLOOKUP($U$193,'TAR FIN'!$A$1:$O$85,15,0))</f>
        <v>105.58</v>
      </c>
      <c r="Y193" s="6"/>
      <c r="Z193" s="6">
        <f ca="1">('TUSD BE'!$AM$33+'TUSD BF'!$AM$33+'TUSD CVA'!$AM$33)*(1-CUSTOS!$M$38)</f>
        <v>620.13355393673532</v>
      </c>
      <c r="AA193" s="6">
        <f>('TE BE'!$AB$23+'TE BF'!$AB$23+'TE CVA'!$AB$23)*(1-CUSTOS!$M$38)</f>
        <v>115.23119735093319</v>
      </c>
      <c r="AB193" s="6">
        <f>$K$193*$V$193</f>
        <v>0</v>
      </c>
      <c r="AC193" s="6">
        <f>$M$193*$W$193</f>
        <v>126911.80033</v>
      </c>
      <c r="AD193" s="6">
        <f>$O$193*$X$193</f>
        <v>25000.18262</v>
      </c>
      <c r="AE193" s="6">
        <f>$K$193*$Y$193</f>
        <v>0</v>
      </c>
      <c r="AF193" s="6">
        <f ca="1">$M$193*$Z$193</f>
        <v>146840.80410312561</v>
      </c>
      <c r="AG193" s="6">
        <f>$O$193*$AA$193</f>
        <v>27285.479989530118</v>
      </c>
    </row>
    <row r="194" spans="1:33" ht="11.25" customHeight="1" x14ac:dyDescent="0.3">
      <c r="A194" s="4" t="s">
        <v>28</v>
      </c>
      <c r="B194" s="4" t="s">
        <v>42</v>
      </c>
      <c r="C194" s="4" t="s">
        <v>23</v>
      </c>
      <c r="D194" s="4" t="s">
        <v>43</v>
      </c>
      <c r="E194" s="4" t="s">
        <v>25</v>
      </c>
      <c r="F194" s="4" t="s">
        <v>25</v>
      </c>
      <c r="G194" s="4" t="s">
        <v>25</v>
      </c>
      <c r="H194" s="4" t="s">
        <v>25</v>
      </c>
      <c r="I194" s="5">
        <v>44440</v>
      </c>
      <c r="J194" s="6">
        <v>0</v>
      </c>
      <c r="K194" s="6">
        <v>0</v>
      </c>
      <c r="L194" s="6">
        <v>19.481999999999999</v>
      </c>
      <c r="M194" s="6">
        <v>19.481999999999999</v>
      </c>
      <c r="N194" s="6">
        <v>19.481999999999999</v>
      </c>
      <c r="O194" s="6">
        <v>19.481999999999999</v>
      </c>
      <c r="P194" s="6">
        <v>10</v>
      </c>
      <c r="Q194" s="4" t="s">
        <v>26</v>
      </c>
      <c r="R194" s="4">
        <v>0</v>
      </c>
      <c r="S194" s="6">
        <v>0</v>
      </c>
      <c r="T194" s="6">
        <v>49</v>
      </c>
      <c r="U194" s="6">
        <v>59</v>
      </c>
      <c r="V194" s="6">
        <f>IF(ISERROR(VLOOKUP($S$194,'TAR FIN'!$A$1:$O$85,15,0)),0,VLOOKUP($S$194,'TAR FIN'!$A$1:$O$85,15,0))</f>
        <v>0</v>
      </c>
      <c r="W194" s="6">
        <f>IF(ISERROR(VLOOKUP($T$194,'TAR FIN'!$A$1:$O$85,15,0)),0,VLOOKUP($T$194,'TAR FIN'!$A$1:$O$85,15,0))</f>
        <v>535.97</v>
      </c>
      <c r="X194" s="6">
        <f>IF(ISERROR(VLOOKUP($U$194,'TAR FIN'!$A$1:$O$85,15,0)),0,VLOOKUP($U$194,'TAR FIN'!$A$1:$O$85,15,0))</f>
        <v>105.58</v>
      </c>
      <c r="Y194" s="6"/>
      <c r="Z194" s="6">
        <f ca="1">('TUSD BE'!$AM$33+'TUSD BF'!$AM$33+'TUSD CVA'!$AM$33)*(1-CUSTOS!$M$38)</f>
        <v>620.13355393673532</v>
      </c>
      <c r="AA194" s="6">
        <f>('TE BE'!$AB$23+'TE BF'!$AB$23+'TE CVA'!$AB$23)*(1-CUSTOS!$M$38)</f>
        <v>115.23119735093319</v>
      </c>
      <c r="AB194" s="6">
        <f>$K$194*$V$194</f>
        <v>0</v>
      </c>
      <c r="AC194" s="6">
        <f>$M$194*$W$194</f>
        <v>10441.767540000001</v>
      </c>
      <c r="AD194" s="6">
        <f>$O$194*$X$194</f>
        <v>2056.9095600000001</v>
      </c>
      <c r="AE194" s="6">
        <f>$K$194*$Y$194</f>
        <v>0</v>
      </c>
      <c r="AF194" s="6">
        <f ca="1">$M$194*$Z$194</f>
        <v>12081.441897795477</v>
      </c>
      <c r="AG194" s="6">
        <f>$O$194*$AA$194</f>
        <v>2244.9341867908802</v>
      </c>
    </row>
    <row r="195" spans="1:33" ht="11.25" customHeight="1" x14ac:dyDescent="0.3">
      <c r="A195" s="4" t="s">
        <v>21</v>
      </c>
      <c r="B195" s="4" t="s">
        <v>42</v>
      </c>
      <c r="C195" s="4" t="s">
        <v>23</v>
      </c>
      <c r="D195" s="4" t="s">
        <v>43</v>
      </c>
      <c r="E195" s="4" t="s">
        <v>25</v>
      </c>
      <c r="F195" s="4" t="s">
        <v>25</v>
      </c>
      <c r="G195" s="4" t="s">
        <v>25</v>
      </c>
      <c r="H195" s="4" t="s">
        <v>25</v>
      </c>
      <c r="I195" s="5">
        <v>44470</v>
      </c>
      <c r="J195" s="6">
        <v>0</v>
      </c>
      <c r="K195" s="6">
        <v>0</v>
      </c>
      <c r="L195" s="6">
        <v>293.82499999999999</v>
      </c>
      <c r="M195" s="6">
        <v>293.82499999999999</v>
      </c>
      <c r="N195" s="6">
        <v>293.82499999999999</v>
      </c>
      <c r="O195" s="6">
        <v>293.82499999999999</v>
      </c>
      <c r="P195" s="6">
        <v>711</v>
      </c>
      <c r="Q195" s="4" t="s">
        <v>26</v>
      </c>
      <c r="R195" s="4">
        <v>0</v>
      </c>
      <c r="S195" s="6">
        <v>0</v>
      </c>
      <c r="T195" s="6">
        <v>49</v>
      </c>
      <c r="U195" s="6">
        <v>59</v>
      </c>
      <c r="V195" s="6">
        <f>IF(ISERROR(VLOOKUP($S$195,'TAR FIN'!$A$1:$O$85,15,0)),0,VLOOKUP($S$195,'TAR FIN'!$A$1:$O$85,15,0))</f>
        <v>0</v>
      </c>
      <c r="W195" s="6">
        <f>IF(ISERROR(VLOOKUP($T$195,'TAR FIN'!$A$1:$O$85,15,0)),0,VLOOKUP($T$195,'TAR FIN'!$A$1:$O$85,15,0))</f>
        <v>535.97</v>
      </c>
      <c r="X195" s="6">
        <f>IF(ISERROR(VLOOKUP($U$195,'TAR FIN'!$A$1:$O$85,15,0)),0,VLOOKUP($U$195,'TAR FIN'!$A$1:$O$85,15,0))</f>
        <v>105.58</v>
      </c>
      <c r="Y195" s="6"/>
      <c r="Z195" s="6">
        <f ca="1">('TUSD BE'!$AM$33+'TUSD BF'!$AM$33+'TUSD CVA'!$AM$33)*(1-CUSTOS!$M$38)</f>
        <v>620.13355393673532</v>
      </c>
      <c r="AA195" s="6">
        <f>('TE BE'!$AB$23+'TE BF'!$AB$23+'TE CVA'!$AB$23)*(1-CUSTOS!$M$38)</f>
        <v>115.23119735093319</v>
      </c>
      <c r="AB195" s="6">
        <f>$K$195*$V$195</f>
        <v>0</v>
      </c>
      <c r="AC195" s="6">
        <f>$M$195*$W$195</f>
        <v>157481.38524999999</v>
      </c>
      <c r="AD195" s="6">
        <f>$O$195*$X$195</f>
        <v>31022.0435</v>
      </c>
      <c r="AE195" s="6">
        <f>$K$195*$Y$195</f>
        <v>0</v>
      </c>
      <c r="AF195" s="6">
        <f ca="1">$M$195*$Z$195</f>
        <v>182210.74148546124</v>
      </c>
      <c r="AG195" s="6">
        <f>$O$195*$AA$195</f>
        <v>33857.806561637939</v>
      </c>
    </row>
    <row r="196" spans="1:33" ht="11.25" customHeight="1" x14ac:dyDescent="0.3">
      <c r="A196" s="4" t="s">
        <v>27</v>
      </c>
      <c r="B196" s="4" t="s">
        <v>42</v>
      </c>
      <c r="C196" s="4" t="s">
        <v>23</v>
      </c>
      <c r="D196" s="4" t="s">
        <v>43</v>
      </c>
      <c r="E196" s="4" t="s">
        <v>25</v>
      </c>
      <c r="F196" s="4" t="s">
        <v>25</v>
      </c>
      <c r="G196" s="4" t="s">
        <v>25</v>
      </c>
      <c r="H196" s="4" t="s">
        <v>25</v>
      </c>
      <c r="I196" s="5">
        <v>44470</v>
      </c>
      <c r="J196" s="6">
        <v>0</v>
      </c>
      <c r="K196" s="6">
        <v>0</v>
      </c>
      <c r="L196" s="6">
        <v>-19.876000000000001</v>
      </c>
      <c r="M196" s="6">
        <v>-19.876000000000001</v>
      </c>
      <c r="N196" s="6">
        <v>-19.876000000000001</v>
      </c>
      <c r="O196" s="6">
        <v>-19.876000000000001</v>
      </c>
      <c r="P196" s="6">
        <v>0</v>
      </c>
      <c r="Q196" s="4" t="s">
        <v>26</v>
      </c>
      <c r="R196" s="4">
        <v>0</v>
      </c>
      <c r="S196" s="6">
        <v>0</v>
      </c>
      <c r="T196" s="6">
        <v>49</v>
      </c>
      <c r="U196" s="6">
        <v>59</v>
      </c>
      <c r="V196" s="6">
        <f>IF(ISERROR(VLOOKUP($S$196,'TAR FIN'!$A$1:$O$85,15,0)),0,VLOOKUP($S$196,'TAR FIN'!$A$1:$O$85,15,0))</f>
        <v>0</v>
      </c>
      <c r="W196" s="6">
        <f>IF(ISERROR(VLOOKUP($T$196,'TAR FIN'!$A$1:$O$85,15,0)),0,VLOOKUP($T$196,'TAR FIN'!$A$1:$O$85,15,0))</f>
        <v>535.97</v>
      </c>
      <c r="X196" s="6">
        <f>IF(ISERROR(VLOOKUP($U$196,'TAR FIN'!$A$1:$O$85,15,0)),0,VLOOKUP($U$196,'TAR FIN'!$A$1:$O$85,15,0))</f>
        <v>105.58</v>
      </c>
      <c r="Y196" s="6"/>
      <c r="Z196" s="6">
        <f ca="1">('TUSD BE'!$AM$33+'TUSD BF'!$AM$33+'TUSD CVA'!$AM$33)*(1-CUSTOS!$M$38)</f>
        <v>620.13355393673532</v>
      </c>
      <c r="AA196" s="6">
        <f>('TE BE'!$AB$23+'TE BF'!$AB$23+'TE CVA'!$AB$23)*(1-CUSTOS!$M$38)</f>
        <v>115.23119735093319</v>
      </c>
      <c r="AB196" s="6">
        <f>$K$196*$V$196</f>
        <v>0</v>
      </c>
      <c r="AC196" s="6">
        <f>$M$196*$W$196</f>
        <v>-10652.93972</v>
      </c>
      <c r="AD196" s="6">
        <f>$O$196*$X$196</f>
        <v>-2098.5080800000001</v>
      </c>
      <c r="AE196" s="6">
        <f>$K$196*$Y$196</f>
        <v>0</v>
      </c>
      <c r="AF196" s="6">
        <f ca="1">$M$196*$Z$196</f>
        <v>-12325.774518046552</v>
      </c>
      <c r="AG196" s="6">
        <f>$O$196*$AA$196</f>
        <v>-2290.3352785471479</v>
      </c>
    </row>
    <row r="197" spans="1:33" ht="11.25" customHeight="1" x14ac:dyDescent="0.3">
      <c r="A197" s="4" t="s">
        <v>28</v>
      </c>
      <c r="B197" s="4" t="s">
        <v>42</v>
      </c>
      <c r="C197" s="4" t="s">
        <v>23</v>
      </c>
      <c r="D197" s="4" t="s">
        <v>43</v>
      </c>
      <c r="E197" s="4" t="s">
        <v>25</v>
      </c>
      <c r="F197" s="4" t="s">
        <v>25</v>
      </c>
      <c r="G197" s="4" t="s">
        <v>25</v>
      </c>
      <c r="H197" s="4" t="s">
        <v>25</v>
      </c>
      <c r="I197" s="5">
        <v>44470</v>
      </c>
      <c r="J197" s="6">
        <v>0</v>
      </c>
      <c r="K197" s="6">
        <v>0</v>
      </c>
      <c r="L197" s="6">
        <v>16.452999999999999</v>
      </c>
      <c r="M197" s="6">
        <v>16.452999999999999</v>
      </c>
      <c r="N197" s="6">
        <v>16.452999999999999</v>
      </c>
      <c r="O197" s="6">
        <v>16.452999999999999</v>
      </c>
      <c r="P197" s="6">
        <v>12</v>
      </c>
      <c r="Q197" s="4" t="s">
        <v>26</v>
      </c>
      <c r="R197" s="4">
        <v>0</v>
      </c>
      <c r="S197" s="6">
        <v>0</v>
      </c>
      <c r="T197" s="6">
        <v>49</v>
      </c>
      <c r="U197" s="6">
        <v>59</v>
      </c>
      <c r="V197" s="6">
        <f>IF(ISERROR(VLOOKUP($S$197,'TAR FIN'!$A$1:$O$85,15,0)),0,VLOOKUP($S$197,'TAR FIN'!$A$1:$O$85,15,0))</f>
        <v>0</v>
      </c>
      <c r="W197" s="6">
        <f>IF(ISERROR(VLOOKUP($T$197,'TAR FIN'!$A$1:$O$85,15,0)),0,VLOOKUP($T$197,'TAR FIN'!$A$1:$O$85,15,0))</f>
        <v>535.97</v>
      </c>
      <c r="X197" s="6">
        <f>IF(ISERROR(VLOOKUP($U$197,'TAR FIN'!$A$1:$O$85,15,0)),0,VLOOKUP($U$197,'TAR FIN'!$A$1:$O$85,15,0))</f>
        <v>105.58</v>
      </c>
      <c r="Y197" s="6"/>
      <c r="Z197" s="6">
        <f ca="1">('TUSD BE'!$AM$33+'TUSD BF'!$AM$33+'TUSD CVA'!$AM$33)*(1-CUSTOS!$M$38)</f>
        <v>620.13355393673532</v>
      </c>
      <c r="AA197" s="6">
        <f>('TE BE'!$AB$23+'TE BF'!$AB$23+'TE CVA'!$AB$23)*(1-CUSTOS!$M$38)</f>
        <v>115.23119735093319</v>
      </c>
      <c r="AB197" s="6">
        <f>$K$197*$V$197</f>
        <v>0</v>
      </c>
      <c r="AC197" s="6">
        <f>$M$197*$W$197</f>
        <v>8818.3144100000009</v>
      </c>
      <c r="AD197" s="6">
        <f>$O$197*$X$197</f>
        <v>1737.1077399999999</v>
      </c>
      <c r="AE197" s="6">
        <f>$K$197*$Y$197</f>
        <v>0</v>
      </c>
      <c r="AF197" s="6">
        <f ca="1">$M$197*$Z$197</f>
        <v>10203.057362921107</v>
      </c>
      <c r="AG197" s="6">
        <f>$O$197*$AA$197</f>
        <v>1895.8988900149036</v>
      </c>
    </row>
    <row r="198" spans="1:33" ht="11.25" customHeight="1" x14ac:dyDescent="0.3">
      <c r="A198" s="4" t="s">
        <v>21</v>
      </c>
      <c r="B198" s="4" t="s">
        <v>42</v>
      </c>
      <c r="C198" s="4" t="s">
        <v>23</v>
      </c>
      <c r="D198" s="4" t="s">
        <v>43</v>
      </c>
      <c r="E198" s="4" t="s">
        <v>25</v>
      </c>
      <c r="F198" s="4" t="s">
        <v>25</v>
      </c>
      <c r="G198" s="4" t="s">
        <v>25</v>
      </c>
      <c r="H198" s="4" t="s">
        <v>25</v>
      </c>
      <c r="I198" s="5">
        <v>44501</v>
      </c>
      <c r="J198" s="6">
        <v>0</v>
      </c>
      <c r="K198" s="6">
        <v>0</v>
      </c>
      <c r="L198" s="6">
        <v>265.36500000000001</v>
      </c>
      <c r="M198" s="6">
        <v>265.36500000000001</v>
      </c>
      <c r="N198" s="6">
        <v>265.36500000000001</v>
      </c>
      <c r="O198" s="6">
        <v>265.36500000000001</v>
      </c>
      <c r="P198" s="6">
        <v>712</v>
      </c>
      <c r="Q198" s="4" t="s">
        <v>26</v>
      </c>
      <c r="R198" s="4">
        <v>0</v>
      </c>
      <c r="S198" s="6">
        <v>0</v>
      </c>
      <c r="T198" s="6">
        <v>49</v>
      </c>
      <c r="U198" s="6">
        <v>59</v>
      </c>
      <c r="V198" s="6">
        <f>IF(ISERROR(VLOOKUP($S$198,'TAR FIN'!$A$1:$O$85,15,0)),0,VLOOKUP($S$198,'TAR FIN'!$A$1:$O$85,15,0))</f>
        <v>0</v>
      </c>
      <c r="W198" s="6">
        <f>IF(ISERROR(VLOOKUP($T$198,'TAR FIN'!$A$1:$O$85,15,0)),0,VLOOKUP($T$198,'TAR FIN'!$A$1:$O$85,15,0))</f>
        <v>535.97</v>
      </c>
      <c r="X198" s="6">
        <f>IF(ISERROR(VLOOKUP($U$198,'TAR FIN'!$A$1:$O$85,15,0)),0,VLOOKUP($U$198,'TAR FIN'!$A$1:$O$85,15,0))</f>
        <v>105.58</v>
      </c>
      <c r="Y198" s="6"/>
      <c r="Z198" s="6">
        <f ca="1">('TUSD BE'!$AM$33+'TUSD BF'!$AM$33+'TUSD CVA'!$AM$33)*(1-CUSTOS!$M$38)</f>
        <v>620.13355393673532</v>
      </c>
      <c r="AA198" s="6">
        <f>('TE BE'!$AB$23+'TE BF'!$AB$23+'TE CVA'!$AB$23)*(1-CUSTOS!$M$38)</f>
        <v>115.23119735093319</v>
      </c>
      <c r="AB198" s="6">
        <f>$K$198*$V$198</f>
        <v>0</v>
      </c>
      <c r="AC198" s="6">
        <f>$M$198*$W$198</f>
        <v>142227.67905000001</v>
      </c>
      <c r="AD198" s="6">
        <f>$O$198*$X$198</f>
        <v>28017.236700000001</v>
      </c>
      <c r="AE198" s="6">
        <f>$K$198*$Y$198</f>
        <v>0</v>
      </c>
      <c r="AF198" s="6">
        <f ca="1">$M$198*$Z$198</f>
        <v>164561.74054042177</v>
      </c>
      <c r="AG198" s="6">
        <f>$O$198*$AA$198</f>
        <v>30578.326685030384</v>
      </c>
    </row>
    <row r="199" spans="1:33" ht="11.25" customHeight="1" x14ac:dyDescent="0.3">
      <c r="A199" s="4" t="s">
        <v>21</v>
      </c>
      <c r="B199" s="4" t="s">
        <v>42</v>
      </c>
      <c r="C199" s="4" t="s">
        <v>23</v>
      </c>
      <c r="D199" s="4" t="s">
        <v>43</v>
      </c>
      <c r="E199" s="4" t="s">
        <v>25</v>
      </c>
      <c r="F199" s="4" t="s">
        <v>25</v>
      </c>
      <c r="G199" s="4" t="s">
        <v>25</v>
      </c>
      <c r="H199" s="4" t="s">
        <v>25</v>
      </c>
      <c r="I199" s="5">
        <v>44531</v>
      </c>
      <c r="J199" s="6">
        <v>0</v>
      </c>
      <c r="K199" s="6">
        <v>0</v>
      </c>
      <c r="L199" s="6">
        <v>251.61</v>
      </c>
      <c r="M199" s="6">
        <v>251.61</v>
      </c>
      <c r="N199" s="6">
        <v>251.61</v>
      </c>
      <c r="O199" s="6">
        <v>251.61</v>
      </c>
      <c r="P199" s="6">
        <v>711</v>
      </c>
      <c r="Q199" s="4" t="s">
        <v>26</v>
      </c>
      <c r="R199" s="4">
        <v>0</v>
      </c>
      <c r="S199" s="6">
        <v>0</v>
      </c>
      <c r="T199" s="6">
        <v>49</v>
      </c>
      <c r="U199" s="6">
        <v>59</v>
      </c>
      <c r="V199" s="6">
        <f>IF(ISERROR(VLOOKUP($S$199,'TAR FIN'!$A$1:$O$85,15,0)),0,VLOOKUP($S$199,'TAR FIN'!$A$1:$O$85,15,0))</f>
        <v>0</v>
      </c>
      <c r="W199" s="6">
        <f>IF(ISERROR(VLOOKUP($T$199,'TAR FIN'!$A$1:$O$85,15,0)),0,VLOOKUP($T$199,'TAR FIN'!$A$1:$O$85,15,0))</f>
        <v>535.97</v>
      </c>
      <c r="X199" s="6">
        <f>IF(ISERROR(VLOOKUP($U$199,'TAR FIN'!$A$1:$O$85,15,0)),0,VLOOKUP($U$199,'TAR FIN'!$A$1:$O$85,15,0))</f>
        <v>105.58</v>
      </c>
      <c r="Y199" s="6"/>
      <c r="Z199" s="6">
        <f ca="1">('TUSD BE'!$AM$33+'TUSD BF'!$AM$33+'TUSD CVA'!$AM$33)*(1-CUSTOS!$M$38)</f>
        <v>620.13355393673532</v>
      </c>
      <c r="AA199" s="6">
        <f>('TE BE'!$AB$23+'TE BF'!$AB$23+'TE CVA'!$AB$23)*(1-CUSTOS!$M$38)</f>
        <v>115.23119735093319</v>
      </c>
      <c r="AB199" s="6">
        <f>$K$199*$V$199</f>
        <v>0</v>
      </c>
      <c r="AC199" s="6">
        <f>$M$199*$W$199</f>
        <v>134855.41170000003</v>
      </c>
      <c r="AD199" s="6">
        <f>$O$199*$X$199</f>
        <v>26564.983800000002</v>
      </c>
      <c r="AE199" s="6">
        <f>$K$199*$Y$199</f>
        <v>0</v>
      </c>
      <c r="AF199" s="6">
        <f ca="1">$M$199*$Z$199</f>
        <v>156031.80350602197</v>
      </c>
      <c r="AG199" s="6">
        <f>$O$199*$AA$199</f>
        <v>28993.321565468301</v>
      </c>
    </row>
    <row r="200" spans="1:33" ht="11.25" customHeight="1" x14ac:dyDescent="0.3">
      <c r="A200" s="4" t="s">
        <v>28</v>
      </c>
      <c r="B200" s="4" t="s">
        <v>42</v>
      </c>
      <c r="C200" s="4" t="s">
        <v>23</v>
      </c>
      <c r="D200" s="4" t="s">
        <v>43</v>
      </c>
      <c r="E200" s="4" t="s">
        <v>25</v>
      </c>
      <c r="F200" s="4" t="s">
        <v>25</v>
      </c>
      <c r="G200" s="4" t="s">
        <v>25</v>
      </c>
      <c r="H200" s="4" t="s">
        <v>25</v>
      </c>
      <c r="I200" s="5">
        <v>44531</v>
      </c>
      <c r="J200" s="6">
        <v>0</v>
      </c>
      <c r="K200" s="6">
        <v>0</v>
      </c>
      <c r="L200" s="6">
        <v>10.541</v>
      </c>
      <c r="M200" s="6">
        <v>10.541</v>
      </c>
      <c r="N200" s="6">
        <v>10.541</v>
      </c>
      <c r="O200" s="6">
        <v>10.541</v>
      </c>
      <c r="P200" s="6">
        <v>12</v>
      </c>
      <c r="Q200" s="4" t="s">
        <v>26</v>
      </c>
      <c r="R200" s="4">
        <v>0</v>
      </c>
      <c r="S200" s="6">
        <v>0</v>
      </c>
      <c r="T200" s="6">
        <v>49</v>
      </c>
      <c r="U200" s="6">
        <v>59</v>
      </c>
      <c r="V200" s="6">
        <f>IF(ISERROR(VLOOKUP($S$200,'TAR FIN'!$A$1:$O$85,15,0)),0,VLOOKUP($S$200,'TAR FIN'!$A$1:$O$85,15,0))</f>
        <v>0</v>
      </c>
      <c r="W200" s="6">
        <f>IF(ISERROR(VLOOKUP($T$200,'TAR FIN'!$A$1:$O$85,15,0)),0,VLOOKUP($T$200,'TAR FIN'!$A$1:$O$85,15,0))</f>
        <v>535.97</v>
      </c>
      <c r="X200" s="6">
        <f>IF(ISERROR(VLOOKUP($U$200,'TAR FIN'!$A$1:$O$85,15,0)),0,VLOOKUP($U$200,'TAR FIN'!$A$1:$O$85,15,0))</f>
        <v>105.58</v>
      </c>
      <c r="Y200" s="6"/>
      <c r="Z200" s="6">
        <f ca="1">('TUSD BE'!$AM$33+'TUSD BF'!$AM$33+'TUSD CVA'!$AM$33)*(1-CUSTOS!$M$38)</f>
        <v>620.13355393673532</v>
      </c>
      <c r="AA200" s="6">
        <f>('TE BE'!$AB$23+'TE BF'!$AB$23+'TE CVA'!$AB$23)*(1-CUSTOS!$M$38)</f>
        <v>115.23119735093319</v>
      </c>
      <c r="AB200" s="6">
        <f>$K$200*$V$200</f>
        <v>0</v>
      </c>
      <c r="AC200" s="6">
        <f>$M$200*$W$200</f>
        <v>5649.6597700000002</v>
      </c>
      <c r="AD200" s="6">
        <f>$O$200*$X$200</f>
        <v>1112.91878</v>
      </c>
      <c r="AE200" s="6">
        <f>$K$200*$Y$200</f>
        <v>0</v>
      </c>
      <c r="AF200" s="6">
        <f ca="1">$M$200*$Z$200</f>
        <v>6536.8277920471273</v>
      </c>
      <c r="AG200" s="6">
        <f>$O$200*$AA$200</f>
        <v>1214.6520512761867</v>
      </c>
    </row>
    <row r="201" spans="1:33" ht="11.25" customHeight="1" x14ac:dyDescent="0.3">
      <c r="A201" s="4" t="s">
        <v>21</v>
      </c>
      <c r="B201" s="4" t="s">
        <v>42</v>
      </c>
      <c r="C201" s="4" t="s">
        <v>23</v>
      </c>
      <c r="D201" s="4" t="s">
        <v>43</v>
      </c>
      <c r="E201" s="4" t="s">
        <v>25</v>
      </c>
      <c r="F201" s="4" t="s">
        <v>25</v>
      </c>
      <c r="G201" s="4" t="s">
        <v>25</v>
      </c>
      <c r="H201" s="4" t="s">
        <v>25</v>
      </c>
      <c r="I201" s="5">
        <v>44562</v>
      </c>
      <c r="J201" s="6">
        <v>0</v>
      </c>
      <c r="K201" s="6">
        <v>0</v>
      </c>
      <c r="L201" s="6">
        <v>293.61200000000002</v>
      </c>
      <c r="M201" s="6">
        <v>293.61200000000002</v>
      </c>
      <c r="N201" s="6">
        <v>293.61200000000002</v>
      </c>
      <c r="O201" s="6">
        <v>293.61200000000002</v>
      </c>
      <c r="P201" s="6">
        <v>708</v>
      </c>
      <c r="Q201" s="4" t="s">
        <v>26</v>
      </c>
      <c r="R201" s="4">
        <v>0</v>
      </c>
      <c r="S201" s="6">
        <v>0</v>
      </c>
      <c r="T201" s="6">
        <v>49</v>
      </c>
      <c r="U201" s="6">
        <v>59</v>
      </c>
      <c r="V201" s="6">
        <f>IF(ISERROR(VLOOKUP($S$201,'TAR FIN'!$A$1:$O$85,15,0)),0,VLOOKUP($S$201,'TAR FIN'!$A$1:$O$85,15,0))</f>
        <v>0</v>
      </c>
      <c r="W201" s="6">
        <f>IF(ISERROR(VLOOKUP($T$201,'TAR FIN'!$A$1:$O$85,15,0)),0,VLOOKUP($T$201,'TAR FIN'!$A$1:$O$85,15,0))</f>
        <v>535.97</v>
      </c>
      <c r="X201" s="6">
        <f>IF(ISERROR(VLOOKUP($U$201,'TAR FIN'!$A$1:$O$85,15,0)),0,VLOOKUP($U$201,'TAR FIN'!$A$1:$O$85,15,0))</f>
        <v>105.58</v>
      </c>
      <c r="Y201" s="6"/>
      <c r="Z201" s="6">
        <f ca="1">('TUSD BE'!$AM$33+'TUSD BF'!$AM$33+'TUSD CVA'!$AM$33)*(1-CUSTOS!$M$38)</f>
        <v>620.13355393673532</v>
      </c>
      <c r="AA201" s="6">
        <f>('TE BE'!$AB$23+'TE BF'!$AB$23+'TE CVA'!$AB$23)*(1-CUSTOS!$M$38)</f>
        <v>115.23119735093319</v>
      </c>
      <c r="AB201" s="6">
        <f>$K$201*$V$201</f>
        <v>0</v>
      </c>
      <c r="AC201" s="6">
        <f>$M$201*$W$201</f>
        <v>157367.22364000001</v>
      </c>
      <c r="AD201" s="6">
        <f>$O$201*$X$201</f>
        <v>30999.554960000001</v>
      </c>
      <c r="AE201" s="6">
        <f>$K$201*$Y$201</f>
        <v>0</v>
      </c>
      <c r="AF201" s="6">
        <f ca="1">$M$201*$Z$201</f>
        <v>182078.65303847275</v>
      </c>
      <c r="AG201" s="6">
        <f>$O$201*$AA$201</f>
        <v>33833.262316602195</v>
      </c>
    </row>
    <row r="202" spans="1:33" ht="11.25" customHeight="1" x14ac:dyDescent="0.3">
      <c r="A202" s="4" t="s">
        <v>28</v>
      </c>
      <c r="B202" s="4" t="s">
        <v>42</v>
      </c>
      <c r="C202" s="4" t="s">
        <v>23</v>
      </c>
      <c r="D202" s="4" t="s">
        <v>43</v>
      </c>
      <c r="E202" s="4" t="s">
        <v>25</v>
      </c>
      <c r="F202" s="4" t="s">
        <v>25</v>
      </c>
      <c r="G202" s="4" t="s">
        <v>25</v>
      </c>
      <c r="H202" s="4" t="s">
        <v>25</v>
      </c>
      <c r="I202" s="5">
        <v>44562</v>
      </c>
      <c r="J202" s="6">
        <v>0</v>
      </c>
      <c r="K202" s="6">
        <v>0</v>
      </c>
      <c r="L202" s="6">
        <v>22.734999999999999</v>
      </c>
      <c r="M202" s="6">
        <v>22.734999999999999</v>
      </c>
      <c r="N202" s="6">
        <v>22.734999999999999</v>
      </c>
      <c r="O202" s="6">
        <v>22.734999999999999</v>
      </c>
      <c r="P202" s="6">
        <v>13</v>
      </c>
      <c r="Q202" s="4" t="s">
        <v>26</v>
      </c>
      <c r="R202" s="4">
        <v>0</v>
      </c>
      <c r="S202" s="6">
        <v>0</v>
      </c>
      <c r="T202" s="6">
        <v>49</v>
      </c>
      <c r="U202" s="6">
        <v>59</v>
      </c>
      <c r="V202" s="6">
        <f>IF(ISERROR(VLOOKUP($S$202,'TAR FIN'!$A$1:$O$85,15,0)),0,VLOOKUP($S$202,'TAR FIN'!$A$1:$O$85,15,0))</f>
        <v>0</v>
      </c>
      <c r="W202" s="6">
        <f>IF(ISERROR(VLOOKUP($T$202,'TAR FIN'!$A$1:$O$85,15,0)),0,VLOOKUP($T$202,'TAR FIN'!$A$1:$O$85,15,0))</f>
        <v>535.97</v>
      </c>
      <c r="X202" s="6">
        <f>IF(ISERROR(VLOOKUP($U$202,'TAR FIN'!$A$1:$O$85,15,0)),0,VLOOKUP($U$202,'TAR FIN'!$A$1:$O$85,15,0))</f>
        <v>105.58</v>
      </c>
      <c r="Y202" s="6"/>
      <c r="Z202" s="6">
        <f ca="1">('TUSD BE'!$AM$33+'TUSD BF'!$AM$33+'TUSD CVA'!$AM$33)*(1-CUSTOS!$M$38)</f>
        <v>620.13355393673532</v>
      </c>
      <c r="AA202" s="6">
        <f>('TE BE'!$AB$23+'TE BF'!$AB$23+'TE CVA'!$AB$23)*(1-CUSTOS!$M$38)</f>
        <v>115.23119735093319</v>
      </c>
      <c r="AB202" s="6">
        <f>$K$202*$V$202</f>
        <v>0</v>
      </c>
      <c r="AC202" s="6">
        <f>$M$202*$W$202</f>
        <v>12185.27795</v>
      </c>
      <c r="AD202" s="6">
        <f>$O$202*$X$202</f>
        <v>2400.3613</v>
      </c>
      <c r="AE202" s="6">
        <f>$K$202*$Y$202</f>
        <v>0</v>
      </c>
      <c r="AF202" s="6">
        <f ca="1">$M$202*$Z$202</f>
        <v>14098.736348751678</v>
      </c>
      <c r="AG202" s="6">
        <f>$O$202*$AA$202</f>
        <v>2619.781271773466</v>
      </c>
    </row>
    <row r="203" spans="1:33" ht="11.25" customHeight="1" x14ac:dyDescent="0.3">
      <c r="A203" s="4" t="s">
        <v>21</v>
      </c>
      <c r="B203" s="4" t="s">
        <v>42</v>
      </c>
      <c r="C203" s="4" t="s">
        <v>23</v>
      </c>
      <c r="D203" s="4" t="s">
        <v>43</v>
      </c>
      <c r="E203" s="4" t="s">
        <v>25</v>
      </c>
      <c r="F203" s="4" t="s">
        <v>25</v>
      </c>
      <c r="G203" s="4" t="s">
        <v>25</v>
      </c>
      <c r="H203" s="4" t="s">
        <v>25</v>
      </c>
      <c r="I203" s="5">
        <v>44593</v>
      </c>
      <c r="J203" s="6">
        <v>0</v>
      </c>
      <c r="K203" s="6">
        <v>0</v>
      </c>
      <c r="L203" s="6">
        <v>325.15499999999997</v>
      </c>
      <c r="M203" s="6">
        <v>325.15499999999997</v>
      </c>
      <c r="N203" s="6">
        <v>325.15499999999997</v>
      </c>
      <c r="O203" s="6">
        <v>325.15499999999997</v>
      </c>
      <c r="P203" s="6">
        <v>707</v>
      </c>
      <c r="Q203" s="4" t="s">
        <v>26</v>
      </c>
      <c r="R203" s="4">
        <v>0</v>
      </c>
      <c r="S203" s="6">
        <v>0</v>
      </c>
      <c r="T203" s="6">
        <v>49</v>
      </c>
      <c r="U203" s="6">
        <v>59</v>
      </c>
      <c r="V203" s="6">
        <f>IF(ISERROR(VLOOKUP($S$203,'TAR FIN'!$A$1:$O$85,15,0)),0,VLOOKUP($S$203,'TAR FIN'!$A$1:$O$85,15,0))</f>
        <v>0</v>
      </c>
      <c r="W203" s="6">
        <f>IF(ISERROR(VLOOKUP($T$203,'TAR FIN'!$A$1:$O$85,15,0)),0,VLOOKUP($T$203,'TAR FIN'!$A$1:$O$85,15,0))</f>
        <v>535.97</v>
      </c>
      <c r="X203" s="6">
        <f>IF(ISERROR(VLOOKUP($U$203,'TAR FIN'!$A$1:$O$85,15,0)),0,VLOOKUP($U$203,'TAR FIN'!$A$1:$O$85,15,0))</f>
        <v>105.58</v>
      </c>
      <c r="Y203" s="6"/>
      <c r="Z203" s="6">
        <f ca="1">('TUSD BE'!$AM$33+'TUSD BF'!$AM$33+'TUSD CVA'!$AM$33)*(1-CUSTOS!$M$38)</f>
        <v>620.13355393673532</v>
      </c>
      <c r="AA203" s="6">
        <f>('TE BE'!$AB$23+'TE BF'!$AB$23+'TE CVA'!$AB$23)*(1-CUSTOS!$M$38)</f>
        <v>115.23119735093319</v>
      </c>
      <c r="AB203" s="6">
        <f>$K$203*$V$203</f>
        <v>0</v>
      </c>
      <c r="AC203" s="6">
        <f>$M$203*$W$203</f>
        <v>174273.32535</v>
      </c>
      <c r="AD203" s="6">
        <f>$O$203*$X$203</f>
        <v>34329.864899999993</v>
      </c>
      <c r="AE203" s="6">
        <f>$K$203*$Y$203</f>
        <v>0</v>
      </c>
      <c r="AF203" s="6">
        <f ca="1">$M$203*$Z$203</f>
        <v>201639.52573029915</v>
      </c>
      <c r="AG203" s="6">
        <f>$O$203*$AA$203</f>
        <v>37467.999974642677</v>
      </c>
    </row>
    <row r="204" spans="1:33" ht="11.25" customHeight="1" x14ac:dyDescent="0.3">
      <c r="A204" s="4" t="s">
        <v>27</v>
      </c>
      <c r="B204" s="4" t="s">
        <v>42</v>
      </c>
      <c r="C204" s="4" t="s">
        <v>23</v>
      </c>
      <c r="D204" s="4" t="s">
        <v>43</v>
      </c>
      <c r="E204" s="4" t="s">
        <v>25</v>
      </c>
      <c r="F204" s="4" t="s">
        <v>25</v>
      </c>
      <c r="G204" s="4" t="s">
        <v>25</v>
      </c>
      <c r="H204" s="4" t="s">
        <v>25</v>
      </c>
      <c r="I204" s="5">
        <v>44593</v>
      </c>
      <c r="J204" s="6">
        <v>0</v>
      </c>
      <c r="K204" s="6">
        <v>0</v>
      </c>
      <c r="L204" s="6">
        <v>-0.47399999999999998</v>
      </c>
      <c r="M204" s="6">
        <v>-0.47399999999999998</v>
      </c>
      <c r="N204" s="6">
        <v>-0.47399999999999998</v>
      </c>
      <c r="O204" s="6">
        <v>-0.47399999999999998</v>
      </c>
      <c r="P204" s="6">
        <v>0</v>
      </c>
      <c r="Q204" s="4" t="s">
        <v>26</v>
      </c>
      <c r="R204" s="4">
        <v>0</v>
      </c>
      <c r="S204" s="6">
        <v>0</v>
      </c>
      <c r="T204" s="6">
        <v>49</v>
      </c>
      <c r="U204" s="6">
        <v>59</v>
      </c>
      <c r="V204" s="6">
        <f>IF(ISERROR(VLOOKUP($S$204,'TAR FIN'!$A$1:$O$85,15,0)),0,VLOOKUP($S$204,'TAR FIN'!$A$1:$O$85,15,0))</f>
        <v>0</v>
      </c>
      <c r="W204" s="6">
        <f>IF(ISERROR(VLOOKUP($T$204,'TAR FIN'!$A$1:$O$85,15,0)),0,VLOOKUP($T$204,'TAR FIN'!$A$1:$O$85,15,0))</f>
        <v>535.97</v>
      </c>
      <c r="X204" s="6">
        <f>IF(ISERROR(VLOOKUP($U$204,'TAR FIN'!$A$1:$O$85,15,0)),0,VLOOKUP($U$204,'TAR FIN'!$A$1:$O$85,15,0))</f>
        <v>105.58</v>
      </c>
      <c r="Y204" s="6"/>
      <c r="Z204" s="6">
        <f ca="1">('TUSD BE'!$AM$33+'TUSD BF'!$AM$33+'TUSD CVA'!$AM$33)*(1-CUSTOS!$M$38)</f>
        <v>620.13355393673532</v>
      </c>
      <c r="AA204" s="6">
        <f>('TE BE'!$AB$23+'TE BF'!$AB$23+'TE CVA'!$AB$23)*(1-CUSTOS!$M$38)</f>
        <v>115.23119735093319</v>
      </c>
      <c r="AB204" s="6">
        <f>$K$204*$V$204</f>
        <v>0</v>
      </c>
      <c r="AC204" s="6">
        <f>$M$204*$W$204</f>
        <v>-254.04978</v>
      </c>
      <c r="AD204" s="6">
        <f>$O$204*$X$204</f>
        <v>-50.044919999999998</v>
      </c>
      <c r="AE204" s="6">
        <f>$K$204*$Y$204</f>
        <v>0</v>
      </c>
      <c r="AF204" s="6">
        <f ca="1">$M$204*$Z$204</f>
        <v>-293.94330456601256</v>
      </c>
      <c r="AG204" s="6">
        <f>$O$204*$AA$204</f>
        <v>-54.61958754434233</v>
      </c>
    </row>
    <row r="205" spans="1:33" ht="11.25" customHeight="1" x14ac:dyDescent="0.3">
      <c r="A205" s="4" t="s">
        <v>28</v>
      </c>
      <c r="B205" s="4" t="s">
        <v>42</v>
      </c>
      <c r="C205" s="4" t="s">
        <v>23</v>
      </c>
      <c r="D205" s="4" t="s">
        <v>43</v>
      </c>
      <c r="E205" s="4" t="s">
        <v>25</v>
      </c>
      <c r="F205" s="4" t="s">
        <v>25</v>
      </c>
      <c r="G205" s="4" t="s">
        <v>25</v>
      </c>
      <c r="H205" s="4" t="s">
        <v>25</v>
      </c>
      <c r="I205" s="5">
        <v>44593</v>
      </c>
      <c r="J205" s="6">
        <v>0</v>
      </c>
      <c r="K205" s="6">
        <v>0</v>
      </c>
      <c r="L205" s="6">
        <v>18.158999999999999</v>
      </c>
      <c r="M205" s="6">
        <v>18.158999999999999</v>
      </c>
      <c r="N205" s="6">
        <v>18.158999999999999</v>
      </c>
      <c r="O205" s="6">
        <v>18.158999999999999</v>
      </c>
      <c r="P205" s="6">
        <v>13</v>
      </c>
      <c r="Q205" s="4" t="s">
        <v>26</v>
      </c>
      <c r="R205" s="4">
        <v>0</v>
      </c>
      <c r="S205" s="6">
        <v>0</v>
      </c>
      <c r="T205" s="6">
        <v>49</v>
      </c>
      <c r="U205" s="6">
        <v>59</v>
      </c>
      <c r="V205" s="6">
        <f>IF(ISERROR(VLOOKUP($S$205,'TAR FIN'!$A$1:$O$85,15,0)),0,VLOOKUP($S$205,'TAR FIN'!$A$1:$O$85,15,0))</f>
        <v>0</v>
      </c>
      <c r="W205" s="6">
        <f>IF(ISERROR(VLOOKUP($T$205,'TAR FIN'!$A$1:$O$85,15,0)),0,VLOOKUP($T$205,'TAR FIN'!$A$1:$O$85,15,0))</f>
        <v>535.97</v>
      </c>
      <c r="X205" s="6">
        <f>IF(ISERROR(VLOOKUP($U$205,'TAR FIN'!$A$1:$O$85,15,0)),0,VLOOKUP($U$205,'TAR FIN'!$A$1:$O$85,15,0))</f>
        <v>105.58</v>
      </c>
      <c r="Y205" s="6"/>
      <c r="Z205" s="6">
        <f ca="1">('TUSD BE'!$AM$33+'TUSD BF'!$AM$33+'TUSD CVA'!$AM$33)*(1-CUSTOS!$M$38)</f>
        <v>620.13355393673532</v>
      </c>
      <c r="AA205" s="6">
        <f>('TE BE'!$AB$23+'TE BF'!$AB$23+'TE CVA'!$AB$23)*(1-CUSTOS!$M$38)</f>
        <v>115.23119735093319</v>
      </c>
      <c r="AB205" s="6">
        <f>$K$205*$V$205</f>
        <v>0</v>
      </c>
      <c r="AC205" s="6">
        <f>$M$205*$W$205</f>
        <v>9732.6792299999997</v>
      </c>
      <c r="AD205" s="6">
        <f>$O$205*$X$205</f>
        <v>1917.2272199999998</v>
      </c>
      <c r="AE205" s="6">
        <f>$K$205*$Y$205</f>
        <v>0</v>
      </c>
      <c r="AF205" s="6">
        <f ca="1">$M$205*$Z$205</f>
        <v>11261.005205937176</v>
      </c>
      <c r="AG205" s="6">
        <f>$O$205*$AA$205</f>
        <v>2092.4833126955955</v>
      </c>
    </row>
    <row r="206" spans="1:33" ht="11.25" customHeight="1" x14ac:dyDescent="0.3">
      <c r="A206" s="4" t="s">
        <v>21</v>
      </c>
      <c r="B206" s="4" t="s">
        <v>42</v>
      </c>
      <c r="C206" s="4" t="s">
        <v>23</v>
      </c>
      <c r="D206" s="4" t="s">
        <v>43</v>
      </c>
      <c r="E206" s="4" t="s">
        <v>25</v>
      </c>
      <c r="F206" s="4" t="s">
        <v>25</v>
      </c>
      <c r="G206" s="4" t="s">
        <v>25</v>
      </c>
      <c r="H206" s="4" t="s">
        <v>25</v>
      </c>
      <c r="I206" s="5">
        <v>44621</v>
      </c>
      <c r="J206" s="6">
        <v>0</v>
      </c>
      <c r="K206" s="6">
        <v>0</v>
      </c>
      <c r="L206" s="6">
        <v>280.87599999999998</v>
      </c>
      <c r="M206" s="6">
        <v>280.87599999999998</v>
      </c>
      <c r="N206" s="6">
        <v>280.87599999999998</v>
      </c>
      <c r="O206" s="6">
        <v>280.87599999999998</v>
      </c>
      <c r="P206" s="6">
        <v>704</v>
      </c>
      <c r="Q206" s="4" t="s">
        <v>26</v>
      </c>
      <c r="R206" s="4">
        <v>0</v>
      </c>
      <c r="S206" s="6">
        <v>0</v>
      </c>
      <c r="T206" s="6">
        <v>49</v>
      </c>
      <c r="U206" s="6">
        <v>59</v>
      </c>
      <c r="V206" s="6">
        <f>IF(ISERROR(VLOOKUP($S$206,'TAR FIN'!$A$1:$O$85,15,0)),0,VLOOKUP($S$206,'TAR FIN'!$A$1:$O$85,15,0))</f>
        <v>0</v>
      </c>
      <c r="W206" s="6">
        <f>IF(ISERROR(VLOOKUP($T$206,'TAR FIN'!$A$1:$O$85,15,0)),0,VLOOKUP($T$206,'TAR FIN'!$A$1:$O$85,15,0))</f>
        <v>535.97</v>
      </c>
      <c r="X206" s="6">
        <f>IF(ISERROR(VLOOKUP($U$206,'TAR FIN'!$A$1:$O$85,15,0)),0,VLOOKUP($U$206,'TAR FIN'!$A$1:$O$85,15,0))</f>
        <v>105.58</v>
      </c>
      <c r="Y206" s="6"/>
      <c r="Z206" s="6">
        <f ca="1">('TUSD BE'!$AM$33+'TUSD BF'!$AM$33+'TUSD CVA'!$AM$33)*(1-CUSTOS!$M$38)</f>
        <v>620.13355393673532</v>
      </c>
      <c r="AA206" s="6">
        <f>('TE BE'!$AB$23+'TE BF'!$AB$23+'TE CVA'!$AB$23)*(1-CUSTOS!$M$38)</f>
        <v>115.23119735093319</v>
      </c>
      <c r="AB206" s="6">
        <f>$K$206*$V$206</f>
        <v>0</v>
      </c>
      <c r="AC206" s="6">
        <f>$M$206*$W$206</f>
        <v>150541.10972000001</v>
      </c>
      <c r="AD206" s="6">
        <f>$O$206*$X$206</f>
        <v>29654.888079999997</v>
      </c>
      <c r="AE206" s="6">
        <f>$K$206*$Y$206</f>
        <v>0</v>
      </c>
      <c r="AF206" s="6">
        <f ca="1">$M$206*$Z$206</f>
        <v>174180.63209553447</v>
      </c>
      <c r="AG206" s="6">
        <f>$O$206*$AA$206</f>
        <v>32365.677787140707</v>
      </c>
    </row>
    <row r="207" spans="1:33" ht="11.25" customHeight="1" x14ac:dyDescent="0.3">
      <c r="A207" s="4" t="s">
        <v>27</v>
      </c>
      <c r="B207" s="4" t="s">
        <v>42</v>
      </c>
      <c r="C207" s="4" t="s">
        <v>23</v>
      </c>
      <c r="D207" s="4" t="s">
        <v>43</v>
      </c>
      <c r="E207" s="4" t="s">
        <v>25</v>
      </c>
      <c r="F207" s="4" t="s">
        <v>25</v>
      </c>
      <c r="G207" s="4" t="s">
        <v>25</v>
      </c>
      <c r="H207" s="4" t="s">
        <v>25</v>
      </c>
      <c r="I207" s="5">
        <v>44621</v>
      </c>
      <c r="J207" s="6">
        <v>0</v>
      </c>
      <c r="K207" s="6">
        <v>0</v>
      </c>
      <c r="L207" s="6">
        <v>-2.2639999999999998</v>
      </c>
      <c r="M207" s="6">
        <v>-2.2639999999999998</v>
      </c>
      <c r="N207" s="6">
        <v>-2.2639999999999998</v>
      </c>
      <c r="O207" s="6">
        <v>-2.2639999999999998</v>
      </c>
      <c r="P207" s="6">
        <v>0</v>
      </c>
      <c r="Q207" s="4" t="s">
        <v>26</v>
      </c>
      <c r="R207" s="4">
        <v>0</v>
      </c>
      <c r="S207" s="6">
        <v>0</v>
      </c>
      <c r="T207" s="6">
        <v>49</v>
      </c>
      <c r="U207" s="6">
        <v>59</v>
      </c>
      <c r="V207" s="6">
        <f>IF(ISERROR(VLOOKUP($S$207,'TAR FIN'!$A$1:$O$85,15,0)),0,VLOOKUP($S$207,'TAR FIN'!$A$1:$O$85,15,0))</f>
        <v>0</v>
      </c>
      <c r="W207" s="6">
        <f>IF(ISERROR(VLOOKUP($T$207,'TAR FIN'!$A$1:$O$85,15,0)),0,VLOOKUP($T$207,'TAR FIN'!$A$1:$O$85,15,0))</f>
        <v>535.97</v>
      </c>
      <c r="X207" s="6">
        <f>IF(ISERROR(VLOOKUP($U$207,'TAR FIN'!$A$1:$O$85,15,0)),0,VLOOKUP($U$207,'TAR FIN'!$A$1:$O$85,15,0))</f>
        <v>105.58</v>
      </c>
      <c r="Y207" s="6"/>
      <c r="Z207" s="6">
        <f ca="1">('TUSD BE'!$AM$33+'TUSD BF'!$AM$33+'TUSD CVA'!$AM$33)*(1-CUSTOS!$M$38)</f>
        <v>620.13355393673532</v>
      </c>
      <c r="AA207" s="6">
        <f>('TE BE'!$AB$23+'TE BF'!$AB$23+'TE CVA'!$AB$23)*(1-CUSTOS!$M$38)</f>
        <v>115.23119735093319</v>
      </c>
      <c r="AB207" s="6">
        <f>$K$207*$V$207</f>
        <v>0</v>
      </c>
      <c r="AC207" s="6">
        <f>$M$207*$W$207</f>
        <v>-1213.4360799999999</v>
      </c>
      <c r="AD207" s="6">
        <f>$O$207*$X$207</f>
        <v>-239.03311999999997</v>
      </c>
      <c r="AE207" s="6">
        <f>$K$207*$Y$207</f>
        <v>0</v>
      </c>
      <c r="AF207" s="6">
        <f ca="1">$M$207*$Z$207</f>
        <v>-1403.9823661127687</v>
      </c>
      <c r="AG207" s="6">
        <f>$O$207*$AA$207</f>
        <v>-260.88343080251269</v>
      </c>
    </row>
    <row r="208" spans="1:33" ht="11.25" customHeight="1" x14ac:dyDescent="0.3">
      <c r="A208" s="4" t="s">
        <v>28</v>
      </c>
      <c r="B208" s="4" t="s">
        <v>42</v>
      </c>
      <c r="C208" s="4" t="s">
        <v>23</v>
      </c>
      <c r="D208" s="4" t="s">
        <v>43</v>
      </c>
      <c r="E208" s="4" t="s">
        <v>25</v>
      </c>
      <c r="F208" s="4" t="s">
        <v>25</v>
      </c>
      <c r="G208" s="4" t="s">
        <v>25</v>
      </c>
      <c r="H208" s="4" t="s">
        <v>25</v>
      </c>
      <c r="I208" s="5">
        <v>44621</v>
      </c>
      <c r="J208" s="6">
        <v>0</v>
      </c>
      <c r="K208" s="6">
        <v>0</v>
      </c>
      <c r="L208" s="6">
        <v>28.015000000000001</v>
      </c>
      <c r="M208" s="6">
        <v>28.015000000000001</v>
      </c>
      <c r="N208" s="6">
        <v>28.015000000000001</v>
      </c>
      <c r="O208" s="6">
        <v>28.015000000000001</v>
      </c>
      <c r="P208" s="6">
        <v>13</v>
      </c>
      <c r="Q208" s="4" t="s">
        <v>26</v>
      </c>
      <c r="R208" s="4">
        <v>0</v>
      </c>
      <c r="S208" s="6">
        <v>0</v>
      </c>
      <c r="T208" s="6">
        <v>49</v>
      </c>
      <c r="U208" s="6">
        <v>59</v>
      </c>
      <c r="V208" s="6">
        <f>IF(ISERROR(VLOOKUP($S$208,'TAR FIN'!$A$1:$O$85,15,0)),0,VLOOKUP($S$208,'TAR FIN'!$A$1:$O$85,15,0))</f>
        <v>0</v>
      </c>
      <c r="W208" s="6">
        <f>IF(ISERROR(VLOOKUP($T$208,'TAR FIN'!$A$1:$O$85,15,0)),0,VLOOKUP($T$208,'TAR FIN'!$A$1:$O$85,15,0))</f>
        <v>535.97</v>
      </c>
      <c r="X208" s="6">
        <f>IF(ISERROR(VLOOKUP($U$208,'TAR FIN'!$A$1:$O$85,15,0)),0,VLOOKUP($U$208,'TAR FIN'!$A$1:$O$85,15,0))</f>
        <v>105.58</v>
      </c>
      <c r="Y208" s="6"/>
      <c r="Z208" s="6">
        <f ca="1">('TUSD BE'!$AM$33+'TUSD BF'!$AM$33+'TUSD CVA'!$AM$33)*(1-CUSTOS!$M$38)</f>
        <v>620.13355393673532</v>
      </c>
      <c r="AA208" s="6">
        <f>('TE BE'!$AB$23+'TE BF'!$AB$23+'TE CVA'!$AB$23)*(1-CUSTOS!$M$38)</f>
        <v>115.23119735093319</v>
      </c>
      <c r="AB208" s="6">
        <f>$K$208*$V$208</f>
        <v>0</v>
      </c>
      <c r="AC208" s="6">
        <f>$M$208*$W$208</f>
        <v>15015.199550000001</v>
      </c>
      <c r="AD208" s="6">
        <f>$O$208*$X$208</f>
        <v>2957.8236999999999</v>
      </c>
      <c r="AE208" s="6">
        <f>$K$208*$Y$208</f>
        <v>0</v>
      </c>
      <c r="AF208" s="6">
        <f ca="1">$M$208*$Z$208</f>
        <v>17373.041513537639</v>
      </c>
      <c r="AG208" s="6">
        <f>$O$208*$AA$208</f>
        <v>3228.2019937863934</v>
      </c>
    </row>
    <row r="209" spans="1:33" ht="11.25" customHeight="1" x14ac:dyDescent="0.3">
      <c r="A209" s="4" t="s">
        <v>21</v>
      </c>
      <c r="B209" s="4" t="s">
        <v>42</v>
      </c>
      <c r="C209" s="4" t="s">
        <v>23</v>
      </c>
      <c r="D209" s="4" t="s">
        <v>43</v>
      </c>
      <c r="E209" s="4" t="s">
        <v>25</v>
      </c>
      <c r="F209" s="4" t="s">
        <v>25</v>
      </c>
      <c r="G209" s="4" t="s">
        <v>25</v>
      </c>
      <c r="H209" s="4" t="s">
        <v>25</v>
      </c>
      <c r="I209" s="5">
        <v>44652</v>
      </c>
      <c r="J209" s="6">
        <v>0</v>
      </c>
      <c r="K209" s="6">
        <v>0</v>
      </c>
      <c r="L209" s="6">
        <v>243.8</v>
      </c>
      <c r="M209" s="6">
        <v>243.8</v>
      </c>
      <c r="N209" s="6">
        <v>243.8</v>
      </c>
      <c r="O209" s="6">
        <v>243.8</v>
      </c>
      <c r="P209" s="6">
        <v>705</v>
      </c>
      <c r="Q209" s="4" t="s">
        <v>26</v>
      </c>
      <c r="R209" s="4">
        <v>0</v>
      </c>
      <c r="S209" s="6">
        <v>0</v>
      </c>
      <c r="T209" s="6">
        <v>49</v>
      </c>
      <c r="U209" s="6">
        <v>59</v>
      </c>
      <c r="V209" s="6">
        <f>IF(ISERROR(VLOOKUP($S$209,'TAR FIN'!$A$1:$O$85,15,0)),0,VLOOKUP($S$209,'TAR FIN'!$A$1:$O$85,15,0))</f>
        <v>0</v>
      </c>
      <c r="W209" s="6">
        <f>IF(ISERROR(VLOOKUP($T$209,'TAR FIN'!$A$1:$O$85,15,0)),0,VLOOKUP($T$209,'TAR FIN'!$A$1:$O$85,15,0))</f>
        <v>535.97</v>
      </c>
      <c r="X209" s="6">
        <f>IF(ISERROR(VLOOKUP($U$209,'TAR FIN'!$A$1:$O$85,15,0)),0,VLOOKUP($U$209,'TAR FIN'!$A$1:$O$85,15,0))</f>
        <v>105.58</v>
      </c>
      <c r="Y209" s="6"/>
      <c r="Z209" s="6">
        <f ca="1">('TUSD BE'!$AM$33+'TUSD BF'!$AM$33+'TUSD CVA'!$AM$33)*(1-CUSTOS!$M$38)</f>
        <v>620.13355393673532</v>
      </c>
      <c r="AA209" s="6">
        <f>('TE BE'!$AB$23+'TE BF'!$AB$23+'TE CVA'!$AB$23)*(1-CUSTOS!$M$38)</f>
        <v>115.23119735093319</v>
      </c>
      <c r="AB209" s="6">
        <f>$K$209*$V$209</f>
        <v>0</v>
      </c>
      <c r="AC209" s="6">
        <f>$M$209*$W$209</f>
        <v>130669.48600000002</v>
      </c>
      <c r="AD209" s="6">
        <f>$O$209*$X$209</f>
        <v>25740.404000000002</v>
      </c>
      <c r="AE209" s="6">
        <f>$K$209*$Y$209</f>
        <v>0</v>
      </c>
      <c r="AF209" s="6">
        <f ca="1">$M$209*$Z$209</f>
        <v>151188.56044977607</v>
      </c>
      <c r="AG209" s="6">
        <f>$O$209*$AA$209</f>
        <v>28093.365914157512</v>
      </c>
    </row>
    <row r="210" spans="1:33" ht="11.25" customHeight="1" x14ac:dyDescent="0.3">
      <c r="A210" s="4" t="s">
        <v>28</v>
      </c>
      <c r="B210" s="4" t="s">
        <v>42</v>
      </c>
      <c r="C210" s="4" t="s">
        <v>23</v>
      </c>
      <c r="D210" s="4" t="s">
        <v>43</v>
      </c>
      <c r="E210" s="4" t="s">
        <v>25</v>
      </c>
      <c r="F210" s="4" t="s">
        <v>25</v>
      </c>
      <c r="G210" s="4" t="s">
        <v>25</v>
      </c>
      <c r="H210" s="4" t="s">
        <v>25</v>
      </c>
      <c r="I210" s="5">
        <v>44652</v>
      </c>
      <c r="J210" s="6">
        <v>0</v>
      </c>
      <c r="K210" s="6">
        <v>0</v>
      </c>
      <c r="L210" s="6">
        <v>17.763999999999999</v>
      </c>
      <c r="M210" s="6">
        <v>17.763999999999999</v>
      </c>
      <c r="N210" s="6">
        <v>17.763999999999999</v>
      </c>
      <c r="O210" s="6">
        <v>17.763999999999999</v>
      </c>
      <c r="P210" s="6">
        <v>13</v>
      </c>
      <c r="Q210" s="4" t="s">
        <v>26</v>
      </c>
      <c r="R210" s="4">
        <v>0</v>
      </c>
      <c r="S210" s="6">
        <v>0</v>
      </c>
      <c r="T210" s="6">
        <v>49</v>
      </c>
      <c r="U210" s="6">
        <v>59</v>
      </c>
      <c r="V210" s="6">
        <f>IF(ISERROR(VLOOKUP($S$210,'TAR FIN'!$A$1:$O$85,15,0)),0,VLOOKUP($S$210,'TAR FIN'!$A$1:$O$85,15,0))</f>
        <v>0</v>
      </c>
      <c r="W210" s="6">
        <f>IF(ISERROR(VLOOKUP($T$210,'TAR FIN'!$A$1:$O$85,15,0)),0,VLOOKUP($T$210,'TAR FIN'!$A$1:$O$85,15,0))</f>
        <v>535.97</v>
      </c>
      <c r="X210" s="6">
        <f>IF(ISERROR(VLOOKUP($U$210,'TAR FIN'!$A$1:$O$85,15,0)),0,VLOOKUP($U$210,'TAR FIN'!$A$1:$O$85,15,0))</f>
        <v>105.58</v>
      </c>
      <c r="Y210" s="6"/>
      <c r="Z210" s="6">
        <f ca="1">('TUSD BE'!$AM$33+'TUSD BF'!$AM$33+'TUSD CVA'!$AM$33)*(1-CUSTOS!$M$38)</f>
        <v>620.13355393673532</v>
      </c>
      <c r="AA210" s="6">
        <f>('TE BE'!$AB$23+'TE BF'!$AB$23+'TE CVA'!$AB$23)*(1-CUSTOS!$M$38)</f>
        <v>115.23119735093319</v>
      </c>
      <c r="AB210" s="6">
        <f>$K$210*$V$210</f>
        <v>0</v>
      </c>
      <c r="AC210" s="6">
        <f>$M$210*$W$210</f>
        <v>9520.9710799999993</v>
      </c>
      <c r="AD210" s="6">
        <f>$O$210*$X$210</f>
        <v>1875.5231199999998</v>
      </c>
      <c r="AE210" s="6">
        <f>$K$210*$Y$210</f>
        <v>0</v>
      </c>
      <c r="AF210" s="6">
        <f ca="1">$M$210*$Z$210</f>
        <v>11016.052452132166</v>
      </c>
      <c r="AG210" s="6">
        <f>$O$210*$AA$210</f>
        <v>2046.9669897419772</v>
      </c>
    </row>
    <row r="211" spans="1:33" ht="11.25" customHeight="1" x14ac:dyDescent="0.3">
      <c r="A211" s="4" t="s">
        <v>28</v>
      </c>
      <c r="B211" s="4" t="s">
        <v>42</v>
      </c>
      <c r="C211" s="4" t="s">
        <v>23</v>
      </c>
      <c r="D211" s="4" t="s">
        <v>43</v>
      </c>
      <c r="E211" s="4" t="s">
        <v>25</v>
      </c>
      <c r="F211" s="4" t="s">
        <v>25</v>
      </c>
      <c r="G211" s="4" t="s">
        <v>25</v>
      </c>
      <c r="H211" s="4" t="s">
        <v>25</v>
      </c>
      <c r="I211" s="5">
        <v>44652</v>
      </c>
      <c r="J211" s="6">
        <v>0</v>
      </c>
      <c r="K211" s="6">
        <v>0</v>
      </c>
      <c r="L211" s="6">
        <v>-1.169</v>
      </c>
      <c r="M211" s="6">
        <v>-1.169</v>
      </c>
      <c r="N211" s="6">
        <v>-1.169</v>
      </c>
      <c r="O211" s="6">
        <v>-1.169</v>
      </c>
      <c r="P211" s="6">
        <v>2</v>
      </c>
      <c r="Q211" s="4" t="s">
        <v>26</v>
      </c>
      <c r="R211" s="4">
        <v>0</v>
      </c>
      <c r="S211" s="6">
        <v>0</v>
      </c>
      <c r="T211" s="6">
        <v>49</v>
      </c>
      <c r="U211" s="6">
        <v>59</v>
      </c>
      <c r="V211" s="6">
        <f>IF(ISERROR(VLOOKUP($S$211,'TAR FIN'!$A$1:$O$85,15,0)),0,VLOOKUP($S$211,'TAR FIN'!$A$1:$O$85,15,0))</f>
        <v>0</v>
      </c>
      <c r="W211" s="6">
        <f>IF(ISERROR(VLOOKUP($T$211,'TAR FIN'!$A$1:$O$85,15,0)),0,VLOOKUP($T$211,'TAR FIN'!$A$1:$O$85,15,0))</f>
        <v>535.97</v>
      </c>
      <c r="X211" s="6">
        <f>IF(ISERROR(VLOOKUP($U$211,'TAR FIN'!$A$1:$O$85,15,0)),0,VLOOKUP($U$211,'TAR FIN'!$A$1:$O$85,15,0))</f>
        <v>105.58</v>
      </c>
      <c r="Y211" s="6"/>
      <c r="Z211" s="6">
        <f ca="1">('TUSD BE'!$AM$33+'TUSD BF'!$AM$33+'TUSD CVA'!$AM$33)*(1-CUSTOS!$M$38)</f>
        <v>620.13355393673532</v>
      </c>
      <c r="AA211" s="6">
        <f>('TE BE'!$AB$23+'TE BF'!$AB$23+'TE CVA'!$AB$23)*(1-CUSTOS!$M$38)</f>
        <v>115.23119735093319</v>
      </c>
      <c r="AB211" s="6">
        <f>$K$211*$V$211</f>
        <v>0</v>
      </c>
      <c r="AC211" s="6">
        <f>$M$211*$W$211</f>
        <v>-626.54893000000004</v>
      </c>
      <c r="AD211" s="6">
        <f>$O$211*$X$211</f>
        <v>-123.42302000000001</v>
      </c>
      <c r="AE211" s="6">
        <f>$K$211*$Y$211</f>
        <v>0</v>
      </c>
      <c r="AF211" s="6">
        <f ca="1">$M$211*$Z$211</f>
        <v>-724.93612455204357</v>
      </c>
      <c r="AG211" s="6">
        <f>$O$211*$AA$211</f>
        <v>-134.7052697032409</v>
      </c>
    </row>
    <row r="212" spans="1:33" ht="11.25" customHeight="1" x14ac:dyDescent="0.3">
      <c r="A212" s="4" t="s">
        <v>21</v>
      </c>
      <c r="B212" s="4" t="s">
        <v>42</v>
      </c>
      <c r="C212" s="4" t="s">
        <v>23</v>
      </c>
      <c r="D212" s="4" t="s">
        <v>43</v>
      </c>
      <c r="E212" s="4" t="s">
        <v>25</v>
      </c>
      <c r="F212" s="4" t="s">
        <v>25</v>
      </c>
      <c r="G212" s="4" t="s">
        <v>25</v>
      </c>
      <c r="H212" s="4" t="s">
        <v>25</v>
      </c>
      <c r="I212" s="5">
        <v>44682</v>
      </c>
      <c r="J212" s="6">
        <v>0</v>
      </c>
      <c r="K212" s="6">
        <v>0</v>
      </c>
      <c r="L212" s="6">
        <v>220.846</v>
      </c>
      <c r="M212" s="6">
        <v>220.846</v>
      </c>
      <c r="N212" s="6">
        <v>220.846</v>
      </c>
      <c r="O212" s="6">
        <v>220.846</v>
      </c>
      <c r="P212" s="6">
        <v>700</v>
      </c>
      <c r="Q212" s="4" t="s">
        <v>26</v>
      </c>
      <c r="R212" s="4">
        <v>0</v>
      </c>
      <c r="S212" s="6">
        <v>0</v>
      </c>
      <c r="T212" s="6">
        <v>49</v>
      </c>
      <c r="U212" s="6">
        <v>59</v>
      </c>
      <c r="V212" s="6">
        <f>IF(ISERROR(VLOOKUP($S$212,'TAR FIN'!$A$1:$O$85,15,0)),0,VLOOKUP($S$212,'TAR FIN'!$A$1:$O$85,15,0))</f>
        <v>0</v>
      </c>
      <c r="W212" s="6">
        <f>IF(ISERROR(VLOOKUP($T$212,'TAR FIN'!$A$1:$O$85,15,0)),0,VLOOKUP($T$212,'TAR FIN'!$A$1:$O$85,15,0))</f>
        <v>535.97</v>
      </c>
      <c r="X212" s="6">
        <f>IF(ISERROR(VLOOKUP($U$212,'TAR FIN'!$A$1:$O$85,15,0)),0,VLOOKUP($U$212,'TAR FIN'!$A$1:$O$85,15,0))</f>
        <v>105.58</v>
      </c>
      <c r="Y212" s="6"/>
      <c r="Z212" s="6">
        <f ca="1">('TUSD BE'!$AM$33+'TUSD BF'!$AM$33+'TUSD CVA'!$AM$33)*(1-CUSTOS!$M$38)</f>
        <v>620.13355393673532</v>
      </c>
      <c r="AA212" s="6">
        <f>('TE BE'!$AB$23+'TE BF'!$AB$23+'TE CVA'!$AB$23)*(1-CUSTOS!$M$38)</f>
        <v>115.23119735093319</v>
      </c>
      <c r="AB212" s="6">
        <f>$K$212*$V$212</f>
        <v>0</v>
      </c>
      <c r="AC212" s="6">
        <f>$M$212*$W$212</f>
        <v>118366.83062000001</v>
      </c>
      <c r="AD212" s="6">
        <f>$O$212*$X$212</f>
        <v>23316.920679999999</v>
      </c>
      <c r="AE212" s="6">
        <f>$K$212*$Y$212</f>
        <v>0</v>
      </c>
      <c r="AF212" s="6">
        <f ca="1">$M$212*$Z$212</f>
        <v>136954.01485271225</v>
      </c>
      <c r="AG212" s="6">
        <f>$O$212*$AA$212</f>
        <v>25448.349010164191</v>
      </c>
    </row>
    <row r="213" spans="1:33" ht="11.25" customHeight="1" x14ac:dyDescent="0.3">
      <c r="A213" s="4" t="s">
        <v>28</v>
      </c>
      <c r="B213" s="4" t="s">
        <v>42</v>
      </c>
      <c r="C213" s="4" t="s">
        <v>23</v>
      </c>
      <c r="D213" s="4" t="s">
        <v>43</v>
      </c>
      <c r="E213" s="4" t="s">
        <v>25</v>
      </c>
      <c r="F213" s="4" t="s">
        <v>25</v>
      </c>
      <c r="G213" s="4" t="s">
        <v>25</v>
      </c>
      <c r="H213" s="4" t="s">
        <v>25</v>
      </c>
      <c r="I213" s="5">
        <v>44682</v>
      </c>
      <c r="J213" s="6">
        <v>0</v>
      </c>
      <c r="K213" s="6">
        <v>0</v>
      </c>
      <c r="L213" s="6">
        <v>18.504999999999999</v>
      </c>
      <c r="M213" s="6">
        <v>18.504999999999999</v>
      </c>
      <c r="N213" s="6">
        <v>18.504999999999999</v>
      </c>
      <c r="O213" s="6">
        <v>18.504999999999999</v>
      </c>
      <c r="P213" s="6">
        <v>17</v>
      </c>
      <c r="Q213" s="4" t="s">
        <v>26</v>
      </c>
      <c r="R213" s="4">
        <v>0</v>
      </c>
      <c r="S213" s="6">
        <v>0</v>
      </c>
      <c r="T213" s="6">
        <v>49</v>
      </c>
      <c r="U213" s="6">
        <v>59</v>
      </c>
      <c r="V213" s="6">
        <f>IF(ISERROR(VLOOKUP($S$213,'TAR FIN'!$A$1:$O$85,15,0)),0,VLOOKUP($S$213,'TAR FIN'!$A$1:$O$85,15,0))</f>
        <v>0</v>
      </c>
      <c r="W213" s="6">
        <f>IF(ISERROR(VLOOKUP($T$213,'TAR FIN'!$A$1:$O$85,15,0)),0,VLOOKUP($T$213,'TAR FIN'!$A$1:$O$85,15,0))</f>
        <v>535.97</v>
      </c>
      <c r="X213" s="6">
        <f>IF(ISERROR(VLOOKUP($U$213,'TAR FIN'!$A$1:$O$85,15,0)),0,VLOOKUP($U$213,'TAR FIN'!$A$1:$O$85,15,0))</f>
        <v>105.58</v>
      </c>
      <c r="Y213" s="6"/>
      <c r="Z213" s="6">
        <f ca="1">('TUSD BE'!$AM$33+'TUSD BF'!$AM$33+'TUSD CVA'!$AM$33)*(1-CUSTOS!$M$38)</f>
        <v>620.13355393673532</v>
      </c>
      <c r="AA213" s="6">
        <f>('TE BE'!$AB$23+'TE BF'!$AB$23+'TE CVA'!$AB$23)*(1-CUSTOS!$M$38)</f>
        <v>115.23119735093319</v>
      </c>
      <c r="AB213" s="6">
        <f>$K$213*$V$213</f>
        <v>0</v>
      </c>
      <c r="AC213" s="6">
        <f>$M$213*$W$213</f>
        <v>9918.1248500000002</v>
      </c>
      <c r="AD213" s="6">
        <f>$O$213*$X$213</f>
        <v>1953.7578999999998</v>
      </c>
      <c r="AE213" s="6">
        <f>$K$213*$Y$213</f>
        <v>0</v>
      </c>
      <c r="AF213" s="6">
        <f ca="1">$M$213*$Z$213</f>
        <v>11475.571415599286</v>
      </c>
      <c r="AG213" s="6">
        <f>$O$213*$AA$213</f>
        <v>2132.3533069790187</v>
      </c>
    </row>
    <row r="214" spans="1:33" ht="11.25" customHeight="1" x14ac:dyDescent="0.3">
      <c r="A214" s="4" t="s">
        <v>28</v>
      </c>
      <c r="B214" s="4" t="s">
        <v>42</v>
      </c>
      <c r="C214" s="4" t="s">
        <v>23</v>
      </c>
      <c r="D214" s="4" t="s">
        <v>43</v>
      </c>
      <c r="E214" s="4" t="s">
        <v>25</v>
      </c>
      <c r="F214" s="4" t="s">
        <v>25</v>
      </c>
      <c r="G214" s="4" t="s">
        <v>25</v>
      </c>
      <c r="H214" s="4" t="s">
        <v>25</v>
      </c>
      <c r="I214" s="5">
        <v>44682</v>
      </c>
      <c r="J214" s="6">
        <v>0</v>
      </c>
      <c r="K214" s="6">
        <v>0</v>
      </c>
      <c r="L214" s="6">
        <v>-5.4939999999999998</v>
      </c>
      <c r="M214" s="6">
        <v>-5.4939999999999998</v>
      </c>
      <c r="N214" s="6">
        <v>-5.4939999999999998</v>
      </c>
      <c r="O214" s="6">
        <v>-5.4939999999999998</v>
      </c>
      <c r="P214" s="6">
        <v>2</v>
      </c>
      <c r="Q214" s="4" t="s">
        <v>26</v>
      </c>
      <c r="R214" s="4">
        <v>0</v>
      </c>
      <c r="S214" s="6">
        <v>0</v>
      </c>
      <c r="T214" s="6">
        <v>49</v>
      </c>
      <c r="U214" s="6">
        <v>59</v>
      </c>
      <c r="V214" s="6">
        <f>IF(ISERROR(VLOOKUP($S$214,'TAR FIN'!$A$1:$O$85,15,0)),0,VLOOKUP($S$214,'TAR FIN'!$A$1:$O$85,15,0))</f>
        <v>0</v>
      </c>
      <c r="W214" s="6">
        <f>IF(ISERROR(VLOOKUP($T$214,'TAR FIN'!$A$1:$O$85,15,0)),0,VLOOKUP($T$214,'TAR FIN'!$A$1:$O$85,15,0))</f>
        <v>535.97</v>
      </c>
      <c r="X214" s="6">
        <f>IF(ISERROR(VLOOKUP($U$214,'TAR FIN'!$A$1:$O$85,15,0)),0,VLOOKUP($U$214,'TAR FIN'!$A$1:$O$85,15,0))</f>
        <v>105.58</v>
      </c>
      <c r="Y214" s="6"/>
      <c r="Z214" s="6">
        <f ca="1">('TUSD BE'!$AM$33+'TUSD BF'!$AM$33+'TUSD CVA'!$AM$33)*(1-CUSTOS!$M$38)</f>
        <v>620.13355393673532</v>
      </c>
      <c r="AA214" s="6">
        <f>('TE BE'!$AB$23+'TE BF'!$AB$23+'TE CVA'!$AB$23)*(1-CUSTOS!$M$38)</f>
        <v>115.23119735093319</v>
      </c>
      <c r="AB214" s="6">
        <f>$K$214*$V$214</f>
        <v>0</v>
      </c>
      <c r="AC214" s="6">
        <f>$M$214*$W$214</f>
        <v>-2944.6191800000001</v>
      </c>
      <c r="AD214" s="6">
        <f>$O$214*$X$214</f>
        <v>-580.05651999999998</v>
      </c>
      <c r="AE214" s="6">
        <f>$K$214*$Y$214</f>
        <v>0</v>
      </c>
      <c r="AF214" s="6">
        <f ca="1">$M$214*$Z$214</f>
        <v>-3407.0137453284237</v>
      </c>
      <c r="AG214" s="6">
        <f>$O$214*$AA$214</f>
        <v>-633.08019824602695</v>
      </c>
    </row>
    <row r="215" spans="1:33" ht="11.25" customHeight="1" x14ac:dyDescent="0.3">
      <c r="A215" s="4" t="s">
        <v>21</v>
      </c>
      <c r="B215" s="4" t="s">
        <v>42</v>
      </c>
      <c r="C215" s="4" t="s">
        <v>23</v>
      </c>
      <c r="D215" s="4" t="s">
        <v>43</v>
      </c>
      <c r="E215" s="4" t="s">
        <v>25</v>
      </c>
      <c r="F215" s="4" t="s">
        <v>25</v>
      </c>
      <c r="G215" s="4" t="s">
        <v>25</v>
      </c>
      <c r="H215" s="4" t="s">
        <v>25</v>
      </c>
      <c r="I215" s="5">
        <v>44713</v>
      </c>
      <c r="J215" s="6">
        <v>0</v>
      </c>
      <c r="K215" s="6">
        <v>0</v>
      </c>
      <c r="L215" s="6">
        <v>269.67599999999999</v>
      </c>
      <c r="M215" s="6">
        <v>269.67599999999999</v>
      </c>
      <c r="N215" s="6">
        <v>269.67599999999999</v>
      </c>
      <c r="O215" s="6">
        <v>269.67599999999999</v>
      </c>
      <c r="P215" s="6">
        <v>701</v>
      </c>
      <c r="Q215" s="4" t="s">
        <v>26</v>
      </c>
      <c r="R215" s="4">
        <v>0</v>
      </c>
      <c r="S215" s="6">
        <v>0</v>
      </c>
      <c r="T215" s="6">
        <v>49</v>
      </c>
      <c r="U215" s="6">
        <v>59</v>
      </c>
      <c r="V215" s="6">
        <f>IF(ISERROR(VLOOKUP($S$215,'TAR FIN'!$A$1:$O$85,15,0)),0,VLOOKUP($S$215,'TAR FIN'!$A$1:$O$85,15,0))</f>
        <v>0</v>
      </c>
      <c r="W215" s="6">
        <f>IF(ISERROR(VLOOKUP($T$215,'TAR FIN'!$A$1:$O$85,15,0)),0,VLOOKUP($T$215,'TAR FIN'!$A$1:$O$85,15,0))</f>
        <v>535.97</v>
      </c>
      <c r="X215" s="6">
        <f>IF(ISERROR(VLOOKUP($U$215,'TAR FIN'!$A$1:$O$85,15,0)),0,VLOOKUP($U$215,'TAR FIN'!$A$1:$O$85,15,0))</f>
        <v>105.58</v>
      </c>
      <c r="Y215" s="6"/>
      <c r="Z215" s="6">
        <f ca="1">('TUSD BE'!$AM$33+'TUSD BF'!$AM$33+'TUSD CVA'!$AM$33)*(1-CUSTOS!$M$38)</f>
        <v>620.13355393673532</v>
      </c>
      <c r="AA215" s="6">
        <f>('TE BE'!$AB$23+'TE BF'!$AB$23+'TE CVA'!$AB$23)*(1-CUSTOS!$M$38)</f>
        <v>115.23119735093319</v>
      </c>
      <c r="AB215" s="6">
        <f>$K$215*$V$215</f>
        <v>0</v>
      </c>
      <c r="AC215" s="6">
        <f>$M$215*$W$215</f>
        <v>144538.24572000001</v>
      </c>
      <c r="AD215" s="6">
        <f>$O$215*$X$215</f>
        <v>28472.392079999998</v>
      </c>
      <c r="AE215" s="6">
        <f>$K$215*$Y$215</f>
        <v>0</v>
      </c>
      <c r="AF215" s="6">
        <f ca="1">$M$215*$Z$215</f>
        <v>167235.13629144302</v>
      </c>
      <c r="AG215" s="6">
        <f>$O$215*$AA$215</f>
        <v>31075.088376810258</v>
      </c>
    </row>
    <row r="216" spans="1:33" ht="11.25" customHeight="1" x14ac:dyDescent="0.3">
      <c r="A216" s="4" t="s">
        <v>28</v>
      </c>
      <c r="B216" s="4" t="s">
        <v>42</v>
      </c>
      <c r="C216" s="4" t="s">
        <v>23</v>
      </c>
      <c r="D216" s="4" t="s">
        <v>43</v>
      </c>
      <c r="E216" s="4" t="s">
        <v>25</v>
      </c>
      <c r="F216" s="4" t="s">
        <v>25</v>
      </c>
      <c r="G216" s="4" t="s">
        <v>25</v>
      </c>
      <c r="H216" s="4" t="s">
        <v>25</v>
      </c>
      <c r="I216" s="5">
        <v>44713</v>
      </c>
      <c r="J216" s="6">
        <v>0</v>
      </c>
      <c r="K216" s="6">
        <v>0</v>
      </c>
      <c r="L216" s="6">
        <v>-3.0350000000000001</v>
      </c>
      <c r="M216" s="6">
        <v>-3.0350000000000001</v>
      </c>
      <c r="N216" s="6">
        <v>-3.0350000000000001</v>
      </c>
      <c r="O216" s="6">
        <v>-3.0350000000000001</v>
      </c>
      <c r="P216" s="6">
        <v>2</v>
      </c>
      <c r="Q216" s="4" t="s">
        <v>26</v>
      </c>
      <c r="R216" s="4">
        <v>0</v>
      </c>
      <c r="S216" s="6">
        <v>0</v>
      </c>
      <c r="T216" s="6">
        <v>49</v>
      </c>
      <c r="U216" s="6">
        <v>59</v>
      </c>
      <c r="V216" s="6">
        <f>IF(ISERROR(VLOOKUP($S$216,'TAR FIN'!$A$1:$O$85,15,0)),0,VLOOKUP($S$216,'TAR FIN'!$A$1:$O$85,15,0))</f>
        <v>0</v>
      </c>
      <c r="W216" s="6">
        <f>IF(ISERROR(VLOOKUP($T$216,'TAR FIN'!$A$1:$O$85,15,0)),0,VLOOKUP($T$216,'TAR FIN'!$A$1:$O$85,15,0))</f>
        <v>535.97</v>
      </c>
      <c r="X216" s="6">
        <f>IF(ISERROR(VLOOKUP($U$216,'TAR FIN'!$A$1:$O$85,15,0)),0,VLOOKUP($U$216,'TAR FIN'!$A$1:$O$85,15,0))</f>
        <v>105.58</v>
      </c>
      <c r="Y216" s="6"/>
      <c r="Z216" s="6">
        <f ca="1">('TUSD BE'!$AM$33+'TUSD BF'!$AM$33+'TUSD CVA'!$AM$33)*(1-CUSTOS!$M$38)</f>
        <v>620.13355393673532</v>
      </c>
      <c r="AA216" s="6">
        <f>('TE BE'!$AB$23+'TE BF'!$AB$23+'TE CVA'!$AB$23)*(1-CUSTOS!$M$38)</f>
        <v>115.23119735093319</v>
      </c>
      <c r="AB216" s="6">
        <f>$K$216*$V$216</f>
        <v>0</v>
      </c>
      <c r="AC216" s="6">
        <f>$M$216*$W$216</f>
        <v>-1626.6689500000002</v>
      </c>
      <c r="AD216" s="6">
        <f>$O$216*$X$216</f>
        <v>-320.43529999999998</v>
      </c>
      <c r="AE216" s="6">
        <f>$K$216*$Y$216</f>
        <v>0</v>
      </c>
      <c r="AF216" s="6">
        <f ca="1">$M$216*$Z$216</f>
        <v>-1882.1053361979918</v>
      </c>
      <c r="AG216" s="6">
        <f>$O$216*$AA$216</f>
        <v>-349.72668396008225</v>
      </c>
    </row>
    <row r="217" spans="1:33" ht="11.25" customHeight="1" x14ac:dyDescent="0.3">
      <c r="A217" s="4" t="s">
        <v>28</v>
      </c>
      <c r="B217" s="4" t="s">
        <v>42</v>
      </c>
      <c r="C217" s="4" t="s">
        <v>23</v>
      </c>
      <c r="D217" s="4" t="s">
        <v>43</v>
      </c>
      <c r="E217" s="4" t="s">
        <v>25</v>
      </c>
      <c r="F217" s="4" t="s">
        <v>25</v>
      </c>
      <c r="G217" s="4" t="s">
        <v>25</v>
      </c>
      <c r="H217" s="4" t="s">
        <v>25</v>
      </c>
      <c r="I217" s="5">
        <v>44713</v>
      </c>
      <c r="J217" s="6">
        <v>0</v>
      </c>
      <c r="K217" s="6">
        <v>0</v>
      </c>
      <c r="L217" s="6">
        <v>30.792999999999999</v>
      </c>
      <c r="M217" s="6">
        <v>30.792999999999999</v>
      </c>
      <c r="N217" s="6">
        <v>30.792999999999999</v>
      </c>
      <c r="O217" s="6">
        <v>30.792999999999999</v>
      </c>
      <c r="P217" s="6">
        <v>16</v>
      </c>
      <c r="Q217" s="4" t="s">
        <v>26</v>
      </c>
      <c r="R217" s="4">
        <v>0</v>
      </c>
      <c r="S217" s="6">
        <v>0</v>
      </c>
      <c r="T217" s="6">
        <v>49</v>
      </c>
      <c r="U217" s="6">
        <v>59</v>
      </c>
      <c r="V217" s="6">
        <f>IF(ISERROR(VLOOKUP($S$217,'TAR FIN'!$A$1:$O$85,15,0)),0,VLOOKUP($S$217,'TAR FIN'!$A$1:$O$85,15,0))</f>
        <v>0</v>
      </c>
      <c r="W217" s="6">
        <f>IF(ISERROR(VLOOKUP($T$217,'TAR FIN'!$A$1:$O$85,15,0)),0,VLOOKUP($T$217,'TAR FIN'!$A$1:$O$85,15,0))</f>
        <v>535.97</v>
      </c>
      <c r="X217" s="6">
        <f>IF(ISERROR(VLOOKUP($U$217,'TAR FIN'!$A$1:$O$85,15,0)),0,VLOOKUP($U$217,'TAR FIN'!$A$1:$O$85,15,0))</f>
        <v>105.58</v>
      </c>
      <c r="Y217" s="6"/>
      <c r="Z217" s="6">
        <f ca="1">('TUSD BE'!$AM$33+'TUSD BF'!$AM$33+'TUSD CVA'!$AM$33)*(1-CUSTOS!$M$38)</f>
        <v>620.13355393673532</v>
      </c>
      <c r="AA217" s="6">
        <f>('TE BE'!$AB$23+'TE BF'!$AB$23+'TE CVA'!$AB$23)*(1-CUSTOS!$M$38)</f>
        <v>115.23119735093319</v>
      </c>
      <c r="AB217" s="6">
        <f>$K$217*$V$217</f>
        <v>0</v>
      </c>
      <c r="AC217" s="6">
        <f>$M$217*$W$217</f>
        <v>16504.124210000002</v>
      </c>
      <c r="AD217" s="6">
        <f>$O$217*$X$217</f>
        <v>3251.1249399999997</v>
      </c>
      <c r="AE217" s="6">
        <f>$K$217*$Y$217</f>
        <v>0</v>
      </c>
      <c r="AF217" s="6">
        <f ca="1">$M$217*$Z$217</f>
        <v>19095.77252637389</v>
      </c>
      <c r="AG217" s="6">
        <f>$O$217*$AA$217</f>
        <v>3548.3142600272854</v>
      </c>
    </row>
    <row r="218" spans="1:33" ht="11.25" customHeight="1" x14ac:dyDescent="0.3">
      <c r="A218" s="4" t="s">
        <v>21</v>
      </c>
      <c r="B218" s="4" t="s">
        <v>42</v>
      </c>
      <c r="C218" s="4" t="s">
        <v>23</v>
      </c>
      <c r="D218" s="4" t="s">
        <v>43</v>
      </c>
      <c r="E218" s="4" t="s">
        <v>25</v>
      </c>
      <c r="F218" s="4" t="s">
        <v>25</v>
      </c>
      <c r="G218" s="4" t="s">
        <v>25</v>
      </c>
      <c r="H218" s="4" t="s">
        <v>25</v>
      </c>
      <c r="I218" s="5">
        <v>44743</v>
      </c>
      <c r="J218" s="6">
        <v>0</v>
      </c>
      <c r="K218" s="6">
        <v>0</v>
      </c>
      <c r="L218" s="6">
        <v>241.06</v>
      </c>
      <c r="M218" s="6">
        <v>241.06</v>
      </c>
      <c r="N218" s="6">
        <v>241.06</v>
      </c>
      <c r="O218" s="6">
        <v>241.06</v>
      </c>
      <c r="P218" s="6">
        <v>698</v>
      </c>
      <c r="Q218" s="4" t="s">
        <v>26</v>
      </c>
      <c r="R218" s="4">
        <v>0</v>
      </c>
      <c r="S218" s="6">
        <v>0</v>
      </c>
      <c r="T218" s="6">
        <v>49</v>
      </c>
      <c r="U218" s="6">
        <v>59</v>
      </c>
      <c r="V218" s="6">
        <f>IF(ISERROR(VLOOKUP($S$218,'TAR FIN'!$A$1:$O$85,15,0)),0,VLOOKUP($S$218,'TAR FIN'!$A$1:$O$85,15,0))</f>
        <v>0</v>
      </c>
      <c r="W218" s="6">
        <f>IF(ISERROR(VLOOKUP($T$218,'TAR FIN'!$A$1:$O$85,15,0)),0,VLOOKUP($T$218,'TAR FIN'!$A$1:$O$85,15,0))</f>
        <v>535.97</v>
      </c>
      <c r="X218" s="6">
        <f>IF(ISERROR(VLOOKUP($U$218,'TAR FIN'!$A$1:$O$85,15,0)),0,VLOOKUP($U$218,'TAR FIN'!$A$1:$O$85,15,0))</f>
        <v>105.58</v>
      </c>
      <c r="Y218" s="6"/>
      <c r="Z218" s="6">
        <f ca="1">('TUSD BE'!$AM$33+'TUSD BF'!$AM$33+'TUSD CVA'!$AM$33)*(1-CUSTOS!$M$38)</f>
        <v>620.13355393673532</v>
      </c>
      <c r="AA218" s="6">
        <f>('TE BE'!$AB$23+'TE BF'!$AB$23+'TE CVA'!$AB$23)*(1-CUSTOS!$M$38)</f>
        <v>115.23119735093319</v>
      </c>
      <c r="AB218" s="6">
        <f>$K$218*$V$218</f>
        <v>0</v>
      </c>
      <c r="AC218" s="6">
        <f>$M$218*$W$218</f>
        <v>129200.92820000001</v>
      </c>
      <c r="AD218" s="6">
        <f>$O$218*$X$218</f>
        <v>25451.114799999999</v>
      </c>
      <c r="AE218" s="6">
        <f>$K$218*$Y$218</f>
        <v>0</v>
      </c>
      <c r="AF218" s="6">
        <f ca="1">$M$218*$Z$218</f>
        <v>149489.39451198941</v>
      </c>
      <c r="AG218" s="6">
        <f>$O$218*$AA$218</f>
        <v>27777.632433415954</v>
      </c>
    </row>
    <row r="219" spans="1:33" ht="11.25" customHeight="1" x14ac:dyDescent="0.3">
      <c r="A219" s="4" t="s">
        <v>28</v>
      </c>
      <c r="B219" s="4" t="s">
        <v>42</v>
      </c>
      <c r="C219" s="4" t="s">
        <v>23</v>
      </c>
      <c r="D219" s="4" t="s">
        <v>43</v>
      </c>
      <c r="E219" s="4" t="s">
        <v>25</v>
      </c>
      <c r="F219" s="4" t="s">
        <v>25</v>
      </c>
      <c r="G219" s="4" t="s">
        <v>25</v>
      </c>
      <c r="H219" s="4" t="s">
        <v>25</v>
      </c>
      <c r="I219" s="5">
        <v>44743</v>
      </c>
      <c r="J219" s="6">
        <v>0</v>
      </c>
      <c r="K219" s="6">
        <v>0</v>
      </c>
      <c r="L219" s="6">
        <v>28.602</v>
      </c>
      <c r="M219" s="6">
        <v>28.602</v>
      </c>
      <c r="N219" s="6">
        <v>28.602</v>
      </c>
      <c r="O219" s="6">
        <v>28.602</v>
      </c>
      <c r="P219" s="6">
        <v>18</v>
      </c>
      <c r="Q219" s="4" t="s">
        <v>26</v>
      </c>
      <c r="R219" s="4">
        <v>0</v>
      </c>
      <c r="S219" s="6">
        <v>0</v>
      </c>
      <c r="T219" s="6">
        <v>49</v>
      </c>
      <c r="U219" s="6">
        <v>59</v>
      </c>
      <c r="V219" s="6">
        <f>IF(ISERROR(VLOOKUP($S$219,'TAR FIN'!$A$1:$O$85,15,0)),0,VLOOKUP($S$219,'TAR FIN'!$A$1:$O$85,15,0))</f>
        <v>0</v>
      </c>
      <c r="W219" s="6">
        <f>IF(ISERROR(VLOOKUP($T$219,'TAR FIN'!$A$1:$O$85,15,0)),0,VLOOKUP($T$219,'TAR FIN'!$A$1:$O$85,15,0))</f>
        <v>535.97</v>
      </c>
      <c r="X219" s="6">
        <f>IF(ISERROR(VLOOKUP($U$219,'TAR FIN'!$A$1:$O$85,15,0)),0,VLOOKUP($U$219,'TAR FIN'!$A$1:$O$85,15,0))</f>
        <v>105.58</v>
      </c>
      <c r="Y219" s="6"/>
      <c r="Z219" s="6">
        <f ca="1">('TUSD BE'!$AM$33+'TUSD BF'!$AM$33+'TUSD CVA'!$AM$33)*(1-CUSTOS!$M$38)</f>
        <v>620.13355393673532</v>
      </c>
      <c r="AA219" s="6">
        <f>('TE BE'!$AB$23+'TE BF'!$AB$23+'TE CVA'!$AB$23)*(1-CUSTOS!$M$38)</f>
        <v>115.23119735093319</v>
      </c>
      <c r="AB219" s="6">
        <f>$K$219*$V$219</f>
        <v>0</v>
      </c>
      <c r="AC219" s="6">
        <f>$M$219*$W$219</f>
        <v>15329.813940000002</v>
      </c>
      <c r="AD219" s="6">
        <f>$O$219*$X$219</f>
        <v>3019.79916</v>
      </c>
      <c r="AE219" s="6">
        <f>$K$219*$Y$219</f>
        <v>0</v>
      </c>
      <c r="AF219" s="6">
        <f ca="1">$M$219*$Z$219</f>
        <v>17737.059909698502</v>
      </c>
      <c r="AG219" s="6">
        <f>$O$219*$AA$219</f>
        <v>3295.8427066313911</v>
      </c>
    </row>
    <row r="220" spans="1:33" ht="11.25" customHeight="1" x14ac:dyDescent="0.3">
      <c r="A220" s="4" t="s">
        <v>52</v>
      </c>
      <c r="B220" s="4" t="s">
        <v>42</v>
      </c>
      <c r="C220" s="4" t="s">
        <v>23</v>
      </c>
      <c r="D220" s="4" t="s">
        <v>43</v>
      </c>
      <c r="E220" s="4" t="s">
        <v>25</v>
      </c>
      <c r="F220" s="4" t="s">
        <v>25</v>
      </c>
      <c r="G220" s="4" t="s">
        <v>25</v>
      </c>
      <c r="H220" s="4" t="s">
        <v>25</v>
      </c>
      <c r="I220" s="5">
        <v>44774</v>
      </c>
      <c r="J220" s="6">
        <v>0</v>
      </c>
      <c r="K220" s="6">
        <v>0</v>
      </c>
      <c r="L220" s="6">
        <v>241.06</v>
      </c>
      <c r="M220" s="6">
        <v>241.06</v>
      </c>
      <c r="N220" s="6">
        <v>241.06</v>
      </c>
      <c r="O220" s="6">
        <v>241.06</v>
      </c>
      <c r="P220" s="6">
        <v>698</v>
      </c>
      <c r="Q220" s="4" t="s">
        <v>26</v>
      </c>
      <c r="R220" s="4">
        <v>0</v>
      </c>
      <c r="S220" s="6">
        <v>0</v>
      </c>
      <c r="T220" s="6">
        <v>49</v>
      </c>
      <c r="U220" s="6">
        <v>59</v>
      </c>
      <c r="V220" s="6">
        <f>IF(ISERROR(VLOOKUP($S$220,'TAR FIN'!$A$1:$O$85,15,0)),0,VLOOKUP($S$220,'TAR FIN'!$A$1:$O$85,15,0))</f>
        <v>0</v>
      </c>
      <c r="W220" s="6">
        <f>IF(ISERROR(VLOOKUP($T$220,'TAR FIN'!$A$1:$O$85,15,0)),0,VLOOKUP($T$220,'TAR FIN'!$A$1:$O$85,15,0))</f>
        <v>535.97</v>
      </c>
      <c r="X220" s="6">
        <f>IF(ISERROR(VLOOKUP($U$220,'TAR FIN'!$A$1:$O$85,15,0)),0,VLOOKUP($U$220,'TAR FIN'!$A$1:$O$85,15,0))</f>
        <v>105.58</v>
      </c>
      <c r="Y220" s="6"/>
      <c r="Z220" s="6">
        <f ca="1">('TUSD BE'!$AM$33+'TUSD BF'!$AM$33+'TUSD CVA'!$AM$33)*(1-CUSTOS!$M$38)</f>
        <v>620.13355393673532</v>
      </c>
      <c r="AA220" s="6">
        <f>('TE BE'!$AB$23+'TE BF'!$AB$23+'TE CVA'!$AB$23)*(1-CUSTOS!$M$38)</f>
        <v>115.23119735093319</v>
      </c>
      <c r="AB220" s="6">
        <f>$K$220*$V$220</f>
        <v>0</v>
      </c>
      <c r="AC220" s="6">
        <f>$M$220*$W$220</f>
        <v>129200.92820000001</v>
      </c>
      <c r="AD220" s="6">
        <f>$O$220*$X$220</f>
        <v>25451.114799999999</v>
      </c>
      <c r="AE220" s="6">
        <f>$K$220*$Y$220</f>
        <v>0</v>
      </c>
      <c r="AF220" s="6">
        <f ca="1">$M$220*$Z$220</f>
        <v>149489.39451198941</v>
      </c>
      <c r="AG220" s="6">
        <f>$O$220*$AA$220</f>
        <v>27777.632433415954</v>
      </c>
    </row>
    <row r="221" spans="1:33" ht="11.25" customHeight="1" x14ac:dyDescent="0.3">
      <c r="A221" s="4" t="s">
        <v>52</v>
      </c>
      <c r="B221" s="4" t="s">
        <v>42</v>
      </c>
      <c r="C221" s="4" t="s">
        <v>23</v>
      </c>
      <c r="D221" s="4" t="s">
        <v>43</v>
      </c>
      <c r="E221" s="4" t="s">
        <v>25</v>
      </c>
      <c r="F221" s="4" t="s">
        <v>25</v>
      </c>
      <c r="G221" s="4" t="s">
        <v>25</v>
      </c>
      <c r="H221" s="4" t="s">
        <v>25</v>
      </c>
      <c r="I221" s="5">
        <v>44774</v>
      </c>
      <c r="J221" s="6">
        <v>0</v>
      </c>
      <c r="K221" s="6">
        <v>0</v>
      </c>
      <c r="L221" s="6">
        <v>28.602</v>
      </c>
      <c r="M221" s="6">
        <v>28.602</v>
      </c>
      <c r="N221" s="6">
        <v>28.602</v>
      </c>
      <c r="O221" s="6">
        <v>28.602</v>
      </c>
      <c r="P221" s="6">
        <v>18</v>
      </c>
      <c r="Q221" s="4" t="s">
        <v>26</v>
      </c>
      <c r="R221" s="4">
        <v>0</v>
      </c>
      <c r="S221" s="6">
        <v>0</v>
      </c>
      <c r="T221" s="6">
        <v>49</v>
      </c>
      <c r="U221" s="6">
        <v>59</v>
      </c>
      <c r="V221" s="6">
        <f>IF(ISERROR(VLOOKUP($S$221,'TAR FIN'!$A$1:$O$85,15,0)),0,VLOOKUP($S$221,'TAR FIN'!$A$1:$O$85,15,0))</f>
        <v>0</v>
      </c>
      <c r="W221" s="6">
        <f>IF(ISERROR(VLOOKUP($T$221,'TAR FIN'!$A$1:$O$85,15,0)),0,VLOOKUP($T$221,'TAR FIN'!$A$1:$O$85,15,0))</f>
        <v>535.97</v>
      </c>
      <c r="X221" s="6">
        <f>IF(ISERROR(VLOOKUP($U$221,'TAR FIN'!$A$1:$O$85,15,0)),0,VLOOKUP($U$221,'TAR FIN'!$A$1:$O$85,15,0))</f>
        <v>105.58</v>
      </c>
      <c r="Y221" s="6"/>
      <c r="Z221" s="6">
        <f ca="1">('TUSD BE'!$AM$33+'TUSD BF'!$AM$33+'TUSD CVA'!$AM$33)*(1-CUSTOS!$M$38)</f>
        <v>620.13355393673532</v>
      </c>
      <c r="AA221" s="6">
        <f>('TE BE'!$AB$23+'TE BF'!$AB$23+'TE CVA'!$AB$23)*(1-CUSTOS!$M$38)</f>
        <v>115.23119735093319</v>
      </c>
      <c r="AB221" s="6">
        <f>$K$221*$V$221</f>
        <v>0</v>
      </c>
      <c r="AC221" s="6">
        <f>$M$221*$W$221</f>
        <v>15329.813940000002</v>
      </c>
      <c r="AD221" s="6">
        <f>$O$221*$X$221</f>
        <v>3019.79916</v>
      </c>
      <c r="AE221" s="6">
        <f>$K$221*$Y$221</f>
        <v>0</v>
      </c>
      <c r="AF221" s="6">
        <f ca="1">$M$221*$Z$221</f>
        <v>17737.059909698502</v>
      </c>
      <c r="AG221" s="6">
        <f>$O$221*$AA$221</f>
        <v>3295.8427066313911</v>
      </c>
    </row>
    <row r="222" spans="1:33" ht="11.25" customHeight="1" x14ac:dyDescent="0.3">
      <c r="A222" s="4" t="s">
        <v>21</v>
      </c>
      <c r="B222" s="4" t="s">
        <v>33</v>
      </c>
      <c r="C222" s="4" t="s">
        <v>39</v>
      </c>
      <c r="D222" s="4" t="s">
        <v>34</v>
      </c>
      <c r="E222" s="4" t="s">
        <v>25</v>
      </c>
      <c r="F222" s="4" t="s">
        <v>25</v>
      </c>
      <c r="G222" s="4" t="s">
        <v>25</v>
      </c>
      <c r="H222" s="4" t="s">
        <v>38</v>
      </c>
      <c r="I222" s="5">
        <v>44440</v>
      </c>
      <c r="J222" s="6">
        <v>0</v>
      </c>
      <c r="K222" s="6">
        <v>0</v>
      </c>
      <c r="L222" s="6">
        <v>28.125</v>
      </c>
      <c r="M222" s="6">
        <v>28.125</v>
      </c>
      <c r="N222" s="6">
        <v>28.125</v>
      </c>
      <c r="O222" s="6">
        <v>28.125</v>
      </c>
      <c r="P222" s="6">
        <v>0</v>
      </c>
      <c r="Q222" s="4" t="s">
        <v>26</v>
      </c>
      <c r="R222" s="4">
        <v>0</v>
      </c>
      <c r="S222" s="6">
        <v>0</v>
      </c>
      <c r="T222" s="6">
        <v>24</v>
      </c>
      <c r="U222" s="6">
        <v>60</v>
      </c>
      <c r="V222" s="6">
        <f>IF(ISERROR(VLOOKUP($S$222,'TAR FIN'!$A$1:$O$85,15,0)),0,VLOOKUP($S$222,'TAR FIN'!$A$1:$O$85,15,0))</f>
        <v>0</v>
      </c>
      <c r="W222" s="6">
        <f>IF(ISERROR(VLOOKUP($T$222,'TAR FIN'!$A$1:$O$85,15,0)),0,VLOOKUP($T$222,'TAR FIN'!$A$1:$O$85,15,0))</f>
        <v>440.79</v>
      </c>
      <c r="X222" s="6">
        <f>IF(ISERROR(VLOOKUP($U$222,'TAR FIN'!$A$1:$O$85,15,0)),0,VLOOKUP($U$222,'TAR FIN'!$A$1:$O$85,15,0))</f>
        <v>119.97</v>
      </c>
      <c r="Y222" s="6"/>
      <c r="Z222" s="6">
        <f ca="1">('TUSD BE'!$AM$47+'TUSD BF'!$AM$47+'TUSD CVA'!$AM$47)*1</f>
        <v>489.29955604915324</v>
      </c>
      <c r="AA222" s="6">
        <f>('TE BE'!$AB$37+'TE BF'!$AB$37+'TE CVA'!$AB$37)*1</f>
        <v>122.58638016056723</v>
      </c>
      <c r="AB222" s="6">
        <f>$K$222*$V$222</f>
        <v>0</v>
      </c>
      <c r="AC222" s="6">
        <f>$M$222*$W$222</f>
        <v>12397.21875</v>
      </c>
      <c r="AD222" s="6">
        <f>$O$222*$X$222</f>
        <v>3374.15625</v>
      </c>
      <c r="AE222" s="6">
        <f>$K$222*$Y$222</f>
        <v>0</v>
      </c>
      <c r="AF222" s="6">
        <f ca="1">$M$222*$Z$222</f>
        <v>13761.550013882435</v>
      </c>
      <c r="AG222" s="6">
        <f>$O$222*$AA$222</f>
        <v>3447.7419420159536</v>
      </c>
    </row>
    <row r="223" spans="1:33" ht="11.25" customHeight="1" x14ac:dyDescent="0.3">
      <c r="A223" s="4" t="s">
        <v>21</v>
      </c>
      <c r="B223" s="4" t="s">
        <v>33</v>
      </c>
      <c r="C223" s="4" t="s">
        <v>39</v>
      </c>
      <c r="D223" s="4" t="s">
        <v>34</v>
      </c>
      <c r="E223" s="4" t="s">
        <v>25</v>
      </c>
      <c r="F223" s="4" t="s">
        <v>25</v>
      </c>
      <c r="G223" s="4" t="s">
        <v>25</v>
      </c>
      <c r="H223" s="4" t="s">
        <v>38</v>
      </c>
      <c r="I223" s="5">
        <v>44470</v>
      </c>
      <c r="J223" s="6">
        <v>0</v>
      </c>
      <c r="K223" s="6">
        <v>0</v>
      </c>
      <c r="L223" s="6">
        <v>33.966000000000001</v>
      </c>
      <c r="M223" s="6">
        <v>33.966000000000001</v>
      </c>
      <c r="N223" s="6">
        <v>33.966000000000001</v>
      </c>
      <c r="O223" s="6">
        <v>33.966000000000001</v>
      </c>
      <c r="P223" s="6">
        <v>0</v>
      </c>
      <c r="Q223" s="4" t="s">
        <v>26</v>
      </c>
      <c r="R223" s="4">
        <v>0</v>
      </c>
      <c r="S223" s="6">
        <v>0</v>
      </c>
      <c r="T223" s="6">
        <v>24</v>
      </c>
      <c r="U223" s="6">
        <v>60</v>
      </c>
      <c r="V223" s="6">
        <f>IF(ISERROR(VLOOKUP($S$223,'TAR FIN'!$A$1:$O$85,15,0)),0,VLOOKUP($S$223,'TAR FIN'!$A$1:$O$85,15,0))</f>
        <v>0</v>
      </c>
      <c r="W223" s="6">
        <f>IF(ISERROR(VLOOKUP($T$223,'TAR FIN'!$A$1:$O$85,15,0)),0,VLOOKUP($T$223,'TAR FIN'!$A$1:$O$85,15,0))</f>
        <v>440.79</v>
      </c>
      <c r="X223" s="6">
        <f>IF(ISERROR(VLOOKUP($U$223,'TAR FIN'!$A$1:$O$85,15,0)),0,VLOOKUP($U$223,'TAR FIN'!$A$1:$O$85,15,0))</f>
        <v>119.97</v>
      </c>
      <c r="Y223" s="6"/>
      <c r="Z223" s="6">
        <f ca="1">('TUSD BE'!$AM$47+'TUSD BF'!$AM$47+'TUSD CVA'!$AM$47)*1</f>
        <v>489.29955604915324</v>
      </c>
      <c r="AA223" s="6">
        <f>('TE BE'!$AB$37+'TE BF'!$AB$37+'TE CVA'!$AB$37)*1</f>
        <v>122.58638016056723</v>
      </c>
      <c r="AB223" s="6">
        <f>$K$223*$V$223</f>
        <v>0</v>
      </c>
      <c r="AC223" s="6">
        <f>$M$223*$W$223</f>
        <v>14971.873140000002</v>
      </c>
      <c r="AD223" s="6">
        <f>$O$223*$X$223</f>
        <v>4074.9010200000002</v>
      </c>
      <c r="AE223" s="6">
        <f>$K$223*$Y$223</f>
        <v>0</v>
      </c>
      <c r="AF223" s="6">
        <f ca="1">$M$223*$Z$223</f>
        <v>16619.548720765539</v>
      </c>
      <c r="AG223" s="6">
        <f>$O$223*$AA$223</f>
        <v>4163.7689885338268</v>
      </c>
    </row>
    <row r="224" spans="1:33" ht="11.25" customHeight="1" x14ac:dyDescent="0.3">
      <c r="A224" s="4" t="s">
        <v>21</v>
      </c>
      <c r="B224" s="4" t="s">
        <v>33</v>
      </c>
      <c r="C224" s="4" t="s">
        <v>39</v>
      </c>
      <c r="D224" s="4" t="s">
        <v>34</v>
      </c>
      <c r="E224" s="4" t="s">
        <v>25</v>
      </c>
      <c r="F224" s="4" t="s">
        <v>25</v>
      </c>
      <c r="G224" s="4" t="s">
        <v>25</v>
      </c>
      <c r="H224" s="4" t="s">
        <v>38</v>
      </c>
      <c r="I224" s="5">
        <v>44501</v>
      </c>
      <c r="J224" s="6">
        <v>0</v>
      </c>
      <c r="K224" s="6">
        <v>0</v>
      </c>
      <c r="L224" s="6">
        <v>34.052</v>
      </c>
      <c r="M224" s="6">
        <v>34.052</v>
      </c>
      <c r="N224" s="6">
        <v>34.052</v>
      </c>
      <c r="O224" s="6">
        <v>34.052</v>
      </c>
      <c r="P224" s="6">
        <v>0</v>
      </c>
      <c r="Q224" s="4" t="s">
        <v>26</v>
      </c>
      <c r="R224" s="4">
        <v>0</v>
      </c>
      <c r="S224" s="6">
        <v>0</v>
      </c>
      <c r="T224" s="6">
        <v>24</v>
      </c>
      <c r="U224" s="6">
        <v>60</v>
      </c>
      <c r="V224" s="6">
        <f>IF(ISERROR(VLOOKUP($S$224,'TAR FIN'!$A$1:$O$85,15,0)),0,VLOOKUP($S$224,'TAR FIN'!$A$1:$O$85,15,0))</f>
        <v>0</v>
      </c>
      <c r="W224" s="6">
        <f>IF(ISERROR(VLOOKUP($T$224,'TAR FIN'!$A$1:$O$85,15,0)),0,VLOOKUP($T$224,'TAR FIN'!$A$1:$O$85,15,0))</f>
        <v>440.79</v>
      </c>
      <c r="X224" s="6">
        <f>IF(ISERROR(VLOOKUP($U$224,'TAR FIN'!$A$1:$O$85,15,0)),0,VLOOKUP($U$224,'TAR FIN'!$A$1:$O$85,15,0))</f>
        <v>119.97</v>
      </c>
      <c r="Y224" s="6"/>
      <c r="Z224" s="6">
        <f ca="1">('TUSD BE'!$AM$47+'TUSD BF'!$AM$47+'TUSD CVA'!$AM$47)*1</f>
        <v>489.29955604915324</v>
      </c>
      <c r="AA224" s="6">
        <f>('TE BE'!$AB$37+'TE BF'!$AB$37+'TE CVA'!$AB$37)*1</f>
        <v>122.58638016056723</v>
      </c>
      <c r="AB224" s="6">
        <f>$K$224*$V$224</f>
        <v>0</v>
      </c>
      <c r="AC224" s="6">
        <f>$M$224*$W$224</f>
        <v>15009.781080000001</v>
      </c>
      <c r="AD224" s="6">
        <f>$O$224*$X$224</f>
        <v>4085.2184400000001</v>
      </c>
      <c r="AE224" s="6">
        <f>$K$224*$Y$224</f>
        <v>0</v>
      </c>
      <c r="AF224" s="6">
        <f ca="1">$M$224*$Z$224</f>
        <v>16661.628482585766</v>
      </c>
      <c r="AG224" s="6">
        <f>$O$224*$AA$224</f>
        <v>4174.3114172276355</v>
      </c>
    </row>
    <row r="225" spans="1:33" ht="11.25" customHeight="1" x14ac:dyDescent="0.3">
      <c r="A225" s="4" t="s">
        <v>21</v>
      </c>
      <c r="B225" s="4" t="s">
        <v>33</v>
      </c>
      <c r="C225" s="4" t="s">
        <v>39</v>
      </c>
      <c r="D225" s="4" t="s">
        <v>34</v>
      </c>
      <c r="E225" s="4" t="s">
        <v>25</v>
      </c>
      <c r="F225" s="4" t="s">
        <v>25</v>
      </c>
      <c r="G225" s="4" t="s">
        <v>25</v>
      </c>
      <c r="H225" s="4" t="s">
        <v>38</v>
      </c>
      <c r="I225" s="5">
        <v>44531</v>
      </c>
      <c r="J225" s="6">
        <v>0</v>
      </c>
      <c r="K225" s="6">
        <v>0</v>
      </c>
      <c r="L225" s="6">
        <v>27.806999999999999</v>
      </c>
      <c r="M225" s="6">
        <v>27.806999999999999</v>
      </c>
      <c r="N225" s="6">
        <v>27.806999999999999</v>
      </c>
      <c r="O225" s="6">
        <v>27.806999999999999</v>
      </c>
      <c r="P225" s="6">
        <v>0</v>
      </c>
      <c r="Q225" s="4" t="s">
        <v>26</v>
      </c>
      <c r="R225" s="4">
        <v>0</v>
      </c>
      <c r="S225" s="6">
        <v>0</v>
      </c>
      <c r="T225" s="6">
        <v>24</v>
      </c>
      <c r="U225" s="6">
        <v>60</v>
      </c>
      <c r="V225" s="6">
        <f>IF(ISERROR(VLOOKUP($S$225,'TAR FIN'!$A$1:$O$85,15,0)),0,VLOOKUP($S$225,'TAR FIN'!$A$1:$O$85,15,0))</f>
        <v>0</v>
      </c>
      <c r="W225" s="6">
        <f>IF(ISERROR(VLOOKUP($T$225,'TAR FIN'!$A$1:$O$85,15,0)),0,VLOOKUP($T$225,'TAR FIN'!$A$1:$O$85,15,0))</f>
        <v>440.79</v>
      </c>
      <c r="X225" s="6">
        <f>IF(ISERROR(VLOOKUP($U$225,'TAR FIN'!$A$1:$O$85,15,0)),0,VLOOKUP($U$225,'TAR FIN'!$A$1:$O$85,15,0))</f>
        <v>119.97</v>
      </c>
      <c r="Y225" s="6"/>
      <c r="Z225" s="6">
        <f ca="1">('TUSD BE'!$AM$47+'TUSD BF'!$AM$47+'TUSD CVA'!$AM$47)*1</f>
        <v>489.29955604915324</v>
      </c>
      <c r="AA225" s="6">
        <f>('TE BE'!$AB$37+'TE BF'!$AB$37+'TE CVA'!$AB$37)*1</f>
        <v>122.58638016056723</v>
      </c>
      <c r="AB225" s="6">
        <f>$K$225*$V$225</f>
        <v>0</v>
      </c>
      <c r="AC225" s="6">
        <f>$M$225*$W$225</f>
        <v>12257.04753</v>
      </c>
      <c r="AD225" s="6">
        <f>$O$225*$X$225</f>
        <v>3336.0057899999997</v>
      </c>
      <c r="AE225" s="6">
        <f>$K$225*$Y$225</f>
        <v>0</v>
      </c>
      <c r="AF225" s="6">
        <f ca="1">$M$225*$Z$225</f>
        <v>13605.952755058803</v>
      </c>
      <c r="AG225" s="6">
        <f>$O$225*$AA$225</f>
        <v>3408.7594731248928</v>
      </c>
    </row>
    <row r="226" spans="1:33" ht="11.25" customHeight="1" x14ac:dyDescent="0.3">
      <c r="A226" s="4" t="s">
        <v>21</v>
      </c>
      <c r="B226" s="4" t="s">
        <v>33</v>
      </c>
      <c r="C226" s="4" t="s">
        <v>39</v>
      </c>
      <c r="D226" s="4" t="s">
        <v>34</v>
      </c>
      <c r="E226" s="4" t="s">
        <v>25</v>
      </c>
      <c r="F226" s="4" t="s">
        <v>25</v>
      </c>
      <c r="G226" s="4" t="s">
        <v>25</v>
      </c>
      <c r="H226" s="4" t="s">
        <v>38</v>
      </c>
      <c r="I226" s="5">
        <v>44562</v>
      </c>
      <c r="J226" s="6">
        <v>0</v>
      </c>
      <c r="K226" s="6">
        <v>0</v>
      </c>
      <c r="L226" s="6">
        <v>21.280999999999999</v>
      </c>
      <c r="M226" s="6">
        <v>21.280999999999999</v>
      </c>
      <c r="N226" s="6">
        <v>21.280999999999999</v>
      </c>
      <c r="O226" s="6">
        <v>21.280999999999999</v>
      </c>
      <c r="P226" s="6">
        <v>0</v>
      </c>
      <c r="Q226" s="4" t="s">
        <v>26</v>
      </c>
      <c r="R226" s="4">
        <v>0</v>
      </c>
      <c r="S226" s="6">
        <v>0</v>
      </c>
      <c r="T226" s="6">
        <v>24</v>
      </c>
      <c r="U226" s="6">
        <v>60</v>
      </c>
      <c r="V226" s="6">
        <f>IF(ISERROR(VLOOKUP($S$226,'TAR FIN'!$A$1:$O$85,15,0)),0,VLOOKUP($S$226,'TAR FIN'!$A$1:$O$85,15,0))</f>
        <v>0</v>
      </c>
      <c r="W226" s="6">
        <f>IF(ISERROR(VLOOKUP($T$226,'TAR FIN'!$A$1:$O$85,15,0)),0,VLOOKUP($T$226,'TAR FIN'!$A$1:$O$85,15,0))</f>
        <v>440.79</v>
      </c>
      <c r="X226" s="6">
        <f>IF(ISERROR(VLOOKUP($U$226,'TAR FIN'!$A$1:$O$85,15,0)),0,VLOOKUP($U$226,'TAR FIN'!$A$1:$O$85,15,0))</f>
        <v>119.97</v>
      </c>
      <c r="Y226" s="6"/>
      <c r="Z226" s="6">
        <f ca="1">('TUSD BE'!$AM$47+'TUSD BF'!$AM$47+'TUSD CVA'!$AM$47)*1</f>
        <v>489.29955604915324</v>
      </c>
      <c r="AA226" s="6">
        <f>('TE BE'!$AB$37+'TE BF'!$AB$37+'TE CVA'!$AB$37)*1</f>
        <v>122.58638016056723</v>
      </c>
      <c r="AB226" s="6">
        <f>$K$226*$V$226</f>
        <v>0</v>
      </c>
      <c r="AC226" s="6">
        <f>$M$226*$W$226</f>
        <v>9380.4519899999996</v>
      </c>
      <c r="AD226" s="6">
        <f>$O$226*$X$226</f>
        <v>2553.0815699999998</v>
      </c>
      <c r="AE226" s="6">
        <f>$K$226*$Y$226</f>
        <v>0</v>
      </c>
      <c r="AF226" s="6">
        <f ca="1">$M$226*$Z$226</f>
        <v>10412.783852282029</v>
      </c>
      <c r="AG226" s="6">
        <f>$O$226*$AA$226</f>
        <v>2608.7607561970312</v>
      </c>
    </row>
    <row r="227" spans="1:33" ht="11.25" customHeight="1" x14ac:dyDescent="0.3">
      <c r="A227" s="4" t="s">
        <v>21</v>
      </c>
      <c r="B227" s="4" t="s">
        <v>33</v>
      </c>
      <c r="C227" s="4" t="s">
        <v>39</v>
      </c>
      <c r="D227" s="4" t="s">
        <v>34</v>
      </c>
      <c r="E227" s="4" t="s">
        <v>25</v>
      </c>
      <c r="F227" s="4" t="s">
        <v>25</v>
      </c>
      <c r="G227" s="4" t="s">
        <v>25</v>
      </c>
      <c r="H227" s="4" t="s">
        <v>38</v>
      </c>
      <c r="I227" s="5">
        <v>44593</v>
      </c>
      <c r="J227" s="6">
        <v>0</v>
      </c>
      <c r="K227" s="6">
        <v>0</v>
      </c>
      <c r="L227" s="6">
        <v>34.11</v>
      </c>
      <c r="M227" s="6">
        <v>34.11</v>
      </c>
      <c r="N227" s="6">
        <v>34.11</v>
      </c>
      <c r="O227" s="6">
        <v>34.11</v>
      </c>
      <c r="P227" s="6">
        <v>0</v>
      </c>
      <c r="Q227" s="4" t="s">
        <v>26</v>
      </c>
      <c r="R227" s="4">
        <v>0</v>
      </c>
      <c r="S227" s="6">
        <v>0</v>
      </c>
      <c r="T227" s="6">
        <v>24</v>
      </c>
      <c r="U227" s="6">
        <v>60</v>
      </c>
      <c r="V227" s="6">
        <f>IF(ISERROR(VLOOKUP($S$227,'TAR FIN'!$A$1:$O$85,15,0)),0,VLOOKUP($S$227,'TAR FIN'!$A$1:$O$85,15,0))</f>
        <v>0</v>
      </c>
      <c r="W227" s="6">
        <f>IF(ISERROR(VLOOKUP($T$227,'TAR FIN'!$A$1:$O$85,15,0)),0,VLOOKUP($T$227,'TAR FIN'!$A$1:$O$85,15,0))</f>
        <v>440.79</v>
      </c>
      <c r="X227" s="6">
        <f>IF(ISERROR(VLOOKUP($U$227,'TAR FIN'!$A$1:$O$85,15,0)),0,VLOOKUP($U$227,'TAR FIN'!$A$1:$O$85,15,0))</f>
        <v>119.97</v>
      </c>
      <c r="Y227" s="6"/>
      <c r="Z227" s="6">
        <f ca="1">('TUSD BE'!$AM$47+'TUSD BF'!$AM$47+'TUSD CVA'!$AM$47)*1</f>
        <v>489.29955604915324</v>
      </c>
      <c r="AA227" s="6">
        <f>('TE BE'!$AB$37+'TE BF'!$AB$37+'TE CVA'!$AB$37)*1</f>
        <v>122.58638016056723</v>
      </c>
      <c r="AB227" s="6">
        <f>$K$227*$V$227</f>
        <v>0</v>
      </c>
      <c r="AC227" s="6">
        <f>$M$227*$W$227</f>
        <v>15035.3469</v>
      </c>
      <c r="AD227" s="6">
        <f>$O$227*$X$227</f>
        <v>4092.1767</v>
      </c>
      <c r="AE227" s="6">
        <f>$K$227*$Y$227</f>
        <v>0</v>
      </c>
      <c r="AF227" s="6">
        <f ca="1">$M$227*$Z$227</f>
        <v>16690.007856836615</v>
      </c>
      <c r="AG227" s="6">
        <f>$O$227*$AA$227</f>
        <v>4181.4214272769477</v>
      </c>
    </row>
    <row r="228" spans="1:33" ht="11.25" customHeight="1" x14ac:dyDescent="0.3">
      <c r="A228" s="4" t="s">
        <v>21</v>
      </c>
      <c r="B228" s="4" t="s">
        <v>33</v>
      </c>
      <c r="C228" s="4" t="s">
        <v>39</v>
      </c>
      <c r="D228" s="4" t="s">
        <v>34</v>
      </c>
      <c r="E228" s="4" t="s">
        <v>25</v>
      </c>
      <c r="F228" s="4" t="s">
        <v>25</v>
      </c>
      <c r="G228" s="4" t="s">
        <v>25</v>
      </c>
      <c r="H228" s="4" t="s">
        <v>38</v>
      </c>
      <c r="I228" s="5">
        <v>44621</v>
      </c>
      <c r="J228" s="6">
        <v>0</v>
      </c>
      <c r="K228" s="6">
        <v>0</v>
      </c>
      <c r="L228" s="6">
        <v>35.738</v>
      </c>
      <c r="M228" s="6">
        <v>35.738</v>
      </c>
      <c r="N228" s="6">
        <v>35.738</v>
      </c>
      <c r="O228" s="6">
        <v>35.738</v>
      </c>
      <c r="P228" s="6">
        <v>0</v>
      </c>
      <c r="Q228" s="4" t="s">
        <v>26</v>
      </c>
      <c r="R228" s="4">
        <v>0</v>
      </c>
      <c r="S228" s="6">
        <v>0</v>
      </c>
      <c r="T228" s="6">
        <v>24</v>
      </c>
      <c r="U228" s="6">
        <v>60</v>
      </c>
      <c r="V228" s="6">
        <f>IF(ISERROR(VLOOKUP($S$228,'TAR FIN'!$A$1:$O$85,15,0)),0,VLOOKUP($S$228,'TAR FIN'!$A$1:$O$85,15,0))</f>
        <v>0</v>
      </c>
      <c r="W228" s="6">
        <f>IF(ISERROR(VLOOKUP($T$228,'TAR FIN'!$A$1:$O$85,15,0)),0,VLOOKUP($T$228,'TAR FIN'!$A$1:$O$85,15,0))</f>
        <v>440.79</v>
      </c>
      <c r="X228" s="6">
        <f>IF(ISERROR(VLOOKUP($U$228,'TAR FIN'!$A$1:$O$85,15,0)),0,VLOOKUP($U$228,'TAR FIN'!$A$1:$O$85,15,0))</f>
        <v>119.97</v>
      </c>
      <c r="Y228" s="6"/>
      <c r="Z228" s="6">
        <f ca="1">('TUSD BE'!$AM$47+'TUSD BF'!$AM$47+'TUSD CVA'!$AM$47)*1</f>
        <v>489.29955604915324</v>
      </c>
      <c r="AA228" s="6">
        <f>('TE BE'!$AB$37+'TE BF'!$AB$37+'TE CVA'!$AB$37)*1</f>
        <v>122.58638016056723</v>
      </c>
      <c r="AB228" s="6">
        <f>$K$228*$V$228</f>
        <v>0</v>
      </c>
      <c r="AC228" s="6">
        <f>$M$228*$W$228</f>
        <v>15752.953020000001</v>
      </c>
      <c r="AD228" s="6">
        <f>$O$228*$X$228</f>
        <v>4287.4878600000002</v>
      </c>
      <c r="AE228" s="6">
        <f>$K$228*$Y$228</f>
        <v>0</v>
      </c>
      <c r="AF228" s="6">
        <f ca="1">$M$228*$Z$228</f>
        <v>17486.58753408464</v>
      </c>
      <c r="AG228" s="6">
        <f>$O$228*$AA$228</f>
        <v>4380.9920541783513</v>
      </c>
    </row>
    <row r="229" spans="1:33" ht="11.25" customHeight="1" x14ac:dyDescent="0.3">
      <c r="A229" s="4" t="s">
        <v>21</v>
      </c>
      <c r="B229" s="4" t="s">
        <v>33</v>
      </c>
      <c r="C229" s="4" t="s">
        <v>39</v>
      </c>
      <c r="D229" s="4" t="s">
        <v>34</v>
      </c>
      <c r="E229" s="4" t="s">
        <v>25</v>
      </c>
      <c r="F229" s="4" t="s">
        <v>25</v>
      </c>
      <c r="G229" s="4" t="s">
        <v>25</v>
      </c>
      <c r="H229" s="4" t="s">
        <v>38</v>
      </c>
      <c r="I229" s="5">
        <v>44652</v>
      </c>
      <c r="J229" s="6">
        <v>0</v>
      </c>
      <c r="K229" s="6">
        <v>0</v>
      </c>
      <c r="L229" s="6">
        <v>29.988</v>
      </c>
      <c r="M229" s="6">
        <v>29.988</v>
      </c>
      <c r="N229" s="6">
        <v>29.988</v>
      </c>
      <c r="O229" s="6">
        <v>29.988</v>
      </c>
      <c r="P229" s="6">
        <v>0</v>
      </c>
      <c r="Q229" s="4" t="s">
        <v>26</v>
      </c>
      <c r="R229" s="4">
        <v>0</v>
      </c>
      <c r="S229" s="6">
        <v>0</v>
      </c>
      <c r="T229" s="6">
        <v>24</v>
      </c>
      <c r="U229" s="6">
        <v>60</v>
      </c>
      <c r="V229" s="6">
        <f>IF(ISERROR(VLOOKUP($S$229,'TAR FIN'!$A$1:$O$85,15,0)),0,VLOOKUP($S$229,'TAR FIN'!$A$1:$O$85,15,0))</f>
        <v>0</v>
      </c>
      <c r="W229" s="6">
        <f>IF(ISERROR(VLOOKUP($T$229,'TAR FIN'!$A$1:$O$85,15,0)),0,VLOOKUP($T$229,'TAR FIN'!$A$1:$O$85,15,0))</f>
        <v>440.79</v>
      </c>
      <c r="X229" s="6">
        <f>IF(ISERROR(VLOOKUP($U$229,'TAR FIN'!$A$1:$O$85,15,0)),0,VLOOKUP($U$229,'TAR FIN'!$A$1:$O$85,15,0))</f>
        <v>119.97</v>
      </c>
      <c r="Y229" s="6"/>
      <c r="Z229" s="6">
        <f ca="1">('TUSD BE'!$AM$47+'TUSD BF'!$AM$47+'TUSD CVA'!$AM$47)*1</f>
        <v>489.29955604915324</v>
      </c>
      <c r="AA229" s="6">
        <f>('TE BE'!$AB$37+'TE BF'!$AB$37+'TE CVA'!$AB$37)*1</f>
        <v>122.58638016056723</v>
      </c>
      <c r="AB229" s="6">
        <f>$K$229*$V$229</f>
        <v>0</v>
      </c>
      <c r="AC229" s="6">
        <f>$M$229*$W$229</f>
        <v>13218.410520000001</v>
      </c>
      <c r="AD229" s="6">
        <f>$O$229*$X$229</f>
        <v>3597.6603599999999</v>
      </c>
      <c r="AE229" s="6">
        <f>$K$229*$Y$229</f>
        <v>0</v>
      </c>
      <c r="AF229" s="6">
        <f ca="1">$M$229*$Z$229</f>
        <v>14673.115086802007</v>
      </c>
      <c r="AG229" s="6">
        <f>$O$229*$AA$229</f>
        <v>3676.1203682550899</v>
      </c>
    </row>
    <row r="230" spans="1:33" ht="11.25" customHeight="1" x14ac:dyDescent="0.3">
      <c r="A230" s="4" t="s">
        <v>21</v>
      </c>
      <c r="B230" s="4" t="s">
        <v>33</v>
      </c>
      <c r="C230" s="4" t="s">
        <v>39</v>
      </c>
      <c r="D230" s="4" t="s">
        <v>34</v>
      </c>
      <c r="E230" s="4" t="s">
        <v>25</v>
      </c>
      <c r="F230" s="4" t="s">
        <v>25</v>
      </c>
      <c r="G230" s="4" t="s">
        <v>25</v>
      </c>
      <c r="H230" s="4" t="s">
        <v>38</v>
      </c>
      <c r="I230" s="5">
        <v>44682</v>
      </c>
      <c r="J230" s="6">
        <v>0</v>
      </c>
      <c r="K230" s="6">
        <v>0</v>
      </c>
      <c r="L230" s="6">
        <v>27.564</v>
      </c>
      <c r="M230" s="6">
        <v>27.564</v>
      </c>
      <c r="N230" s="6">
        <v>27.564</v>
      </c>
      <c r="O230" s="6">
        <v>27.564</v>
      </c>
      <c r="P230" s="6">
        <v>0</v>
      </c>
      <c r="Q230" s="4" t="s">
        <v>26</v>
      </c>
      <c r="R230" s="4">
        <v>0</v>
      </c>
      <c r="S230" s="6">
        <v>0</v>
      </c>
      <c r="T230" s="6">
        <v>24</v>
      </c>
      <c r="U230" s="6">
        <v>60</v>
      </c>
      <c r="V230" s="6">
        <f>IF(ISERROR(VLOOKUP($S$230,'TAR FIN'!$A$1:$O$85,15,0)),0,VLOOKUP($S$230,'TAR FIN'!$A$1:$O$85,15,0))</f>
        <v>0</v>
      </c>
      <c r="W230" s="6">
        <f>IF(ISERROR(VLOOKUP($T$230,'TAR FIN'!$A$1:$O$85,15,0)),0,VLOOKUP($T$230,'TAR FIN'!$A$1:$O$85,15,0))</f>
        <v>440.79</v>
      </c>
      <c r="X230" s="6">
        <f>IF(ISERROR(VLOOKUP($U$230,'TAR FIN'!$A$1:$O$85,15,0)),0,VLOOKUP($U$230,'TAR FIN'!$A$1:$O$85,15,0))</f>
        <v>119.97</v>
      </c>
      <c r="Y230" s="6"/>
      <c r="Z230" s="6">
        <f ca="1">('TUSD BE'!$AM$47+'TUSD BF'!$AM$47+'TUSD CVA'!$AM$47)*1</f>
        <v>489.29955604915324</v>
      </c>
      <c r="AA230" s="6">
        <f>('TE BE'!$AB$37+'TE BF'!$AB$37+'TE CVA'!$AB$37)*1</f>
        <v>122.58638016056723</v>
      </c>
      <c r="AB230" s="6">
        <f>$K$230*$V$230</f>
        <v>0</v>
      </c>
      <c r="AC230" s="6">
        <f>$M$230*$W$230</f>
        <v>12149.93556</v>
      </c>
      <c r="AD230" s="6">
        <f>$O$230*$X$230</f>
        <v>3306.8530799999999</v>
      </c>
      <c r="AE230" s="6">
        <f>$K$230*$Y$230</f>
        <v>0</v>
      </c>
      <c r="AF230" s="6">
        <f ca="1">$M$230*$Z$230</f>
        <v>13487.05296293886</v>
      </c>
      <c r="AG230" s="6">
        <f>$O$230*$AA$230</f>
        <v>3378.9709827458751</v>
      </c>
    </row>
    <row r="231" spans="1:33" ht="11.25" customHeight="1" x14ac:dyDescent="0.3">
      <c r="A231" s="4" t="s">
        <v>21</v>
      </c>
      <c r="B231" s="4" t="s">
        <v>33</v>
      </c>
      <c r="C231" s="4" t="s">
        <v>39</v>
      </c>
      <c r="D231" s="4" t="s">
        <v>34</v>
      </c>
      <c r="E231" s="4" t="s">
        <v>25</v>
      </c>
      <c r="F231" s="4" t="s">
        <v>25</v>
      </c>
      <c r="G231" s="4" t="s">
        <v>25</v>
      </c>
      <c r="H231" s="4" t="s">
        <v>38</v>
      </c>
      <c r="I231" s="5">
        <v>44713</v>
      </c>
      <c r="J231" s="6">
        <v>0</v>
      </c>
      <c r="K231" s="6">
        <v>0</v>
      </c>
      <c r="L231" s="6">
        <v>34.933</v>
      </c>
      <c r="M231" s="6">
        <v>34.933</v>
      </c>
      <c r="N231" s="6">
        <v>34.933</v>
      </c>
      <c r="O231" s="6">
        <v>34.933</v>
      </c>
      <c r="P231" s="6">
        <v>0</v>
      </c>
      <c r="Q231" s="4" t="s">
        <v>26</v>
      </c>
      <c r="R231" s="4">
        <v>0</v>
      </c>
      <c r="S231" s="6">
        <v>0</v>
      </c>
      <c r="T231" s="6">
        <v>24</v>
      </c>
      <c r="U231" s="6">
        <v>60</v>
      </c>
      <c r="V231" s="6">
        <f>IF(ISERROR(VLOOKUP($S$231,'TAR FIN'!$A$1:$O$85,15,0)),0,VLOOKUP($S$231,'TAR FIN'!$A$1:$O$85,15,0))</f>
        <v>0</v>
      </c>
      <c r="W231" s="6">
        <f>IF(ISERROR(VLOOKUP($T$231,'TAR FIN'!$A$1:$O$85,15,0)),0,VLOOKUP($T$231,'TAR FIN'!$A$1:$O$85,15,0))</f>
        <v>440.79</v>
      </c>
      <c r="X231" s="6">
        <f>IF(ISERROR(VLOOKUP($U$231,'TAR FIN'!$A$1:$O$85,15,0)),0,VLOOKUP($U$231,'TAR FIN'!$A$1:$O$85,15,0))</f>
        <v>119.97</v>
      </c>
      <c r="Y231" s="6"/>
      <c r="Z231" s="6">
        <f ca="1">('TUSD BE'!$AM$47+'TUSD BF'!$AM$47+'TUSD CVA'!$AM$47)*1</f>
        <v>489.29955604915324</v>
      </c>
      <c r="AA231" s="6">
        <f>('TE BE'!$AB$37+'TE BF'!$AB$37+'TE CVA'!$AB$37)*1</f>
        <v>122.58638016056723</v>
      </c>
      <c r="AB231" s="6">
        <f>$K$231*$V$231</f>
        <v>0</v>
      </c>
      <c r="AC231" s="6">
        <f>$M$231*$W$231</f>
        <v>15398.11707</v>
      </c>
      <c r="AD231" s="6">
        <f>$O$231*$X$231</f>
        <v>4190.91201</v>
      </c>
      <c r="AE231" s="6">
        <f>$K$231*$Y$231</f>
        <v>0</v>
      </c>
      <c r="AF231" s="6">
        <f ca="1">$M$231*$Z$231</f>
        <v>17092.701391465071</v>
      </c>
      <c r="AG231" s="6">
        <f>$O$231*$AA$231</f>
        <v>4282.3100181490954</v>
      </c>
    </row>
    <row r="232" spans="1:33" ht="11.25" customHeight="1" x14ac:dyDescent="0.3">
      <c r="A232" s="4" t="s">
        <v>21</v>
      </c>
      <c r="B232" s="4" t="s">
        <v>33</v>
      </c>
      <c r="C232" s="4" t="s">
        <v>39</v>
      </c>
      <c r="D232" s="4" t="s">
        <v>34</v>
      </c>
      <c r="E232" s="4" t="s">
        <v>25</v>
      </c>
      <c r="F232" s="4" t="s">
        <v>25</v>
      </c>
      <c r="G232" s="4" t="s">
        <v>25</v>
      </c>
      <c r="H232" s="4" t="s">
        <v>38</v>
      </c>
      <c r="I232" s="5">
        <v>44743</v>
      </c>
      <c r="J232" s="6">
        <v>0</v>
      </c>
      <c r="K232" s="6">
        <v>0</v>
      </c>
      <c r="L232" s="6">
        <v>32.578000000000003</v>
      </c>
      <c r="M232" s="6">
        <v>32.578000000000003</v>
      </c>
      <c r="N232" s="6">
        <v>32.578000000000003</v>
      </c>
      <c r="O232" s="6">
        <v>32.578000000000003</v>
      </c>
      <c r="P232" s="6">
        <v>0</v>
      </c>
      <c r="Q232" s="4" t="s">
        <v>26</v>
      </c>
      <c r="R232" s="4">
        <v>0</v>
      </c>
      <c r="S232" s="6">
        <v>0</v>
      </c>
      <c r="T232" s="6">
        <v>24</v>
      </c>
      <c r="U232" s="6">
        <v>60</v>
      </c>
      <c r="V232" s="6">
        <f>IF(ISERROR(VLOOKUP($S$232,'TAR FIN'!$A$1:$O$85,15,0)),0,VLOOKUP($S$232,'TAR FIN'!$A$1:$O$85,15,0))</f>
        <v>0</v>
      </c>
      <c r="W232" s="6">
        <f>IF(ISERROR(VLOOKUP($T$232,'TAR FIN'!$A$1:$O$85,15,0)),0,VLOOKUP($T$232,'TAR FIN'!$A$1:$O$85,15,0))</f>
        <v>440.79</v>
      </c>
      <c r="X232" s="6">
        <f>IF(ISERROR(VLOOKUP($U$232,'TAR FIN'!$A$1:$O$85,15,0)),0,VLOOKUP($U$232,'TAR FIN'!$A$1:$O$85,15,0))</f>
        <v>119.97</v>
      </c>
      <c r="Y232" s="6"/>
      <c r="Z232" s="6">
        <f ca="1">('TUSD BE'!$AM$47+'TUSD BF'!$AM$47+'TUSD CVA'!$AM$47)*1</f>
        <v>489.29955604915324</v>
      </c>
      <c r="AA232" s="6">
        <f>('TE BE'!$AB$37+'TE BF'!$AB$37+'TE CVA'!$AB$37)*1</f>
        <v>122.58638016056723</v>
      </c>
      <c r="AB232" s="6">
        <f>$K$232*$V$232</f>
        <v>0</v>
      </c>
      <c r="AC232" s="6">
        <f>$M$232*$W$232</f>
        <v>14360.056620000001</v>
      </c>
      <c r="AD232" s="6">
        <f>$O$232*$X$232</f>
        <v>3908.3826600000002</v>
      </c>
      <c r="AE232" s="6">
        <f>$K$232*$Y$232</f>
        <v>0</v>
      </c>
      <c r="AF232" s="6">
        <f ca="1">$M$232*$Z$232</f>
        <v>15940.400936969316</v>
      </c>
      <c r="AG232" s="6">
        <f>$O$232*$AA$232</f>
        <v>3993.6190928709598</v>
      </c>
    </row>
    <row r="233" spans="1:33" ht="11.25" customHeight="1" x14ac:dyDescent="0.3">
      <c r="A233" s="4" t="s">
        <v>28</v>
      </c>
      <c r="B233" s="4" t="s">
        <v>33</v>
      </c>
      <c r="C233" s="4" t="s">
        <v>39</v>
      </c>
      <c r="D233" s="4" t="s">
        <v>34</v>
      </c>
      <c r="E233" s="4" t="s">
        <v>25</v>
      </c>
      <c r="F233" s="4" t="s">
        <v>25</v>
      </c>
      <c r="G233" s="4" t="s">
        <v>25</v>
      </c>
      <c r="H233" s="4" t="s">
        <v>38</v>
      </c>
      <c r="I233" s="5">
        <v>44743</v>
      </c>
      <c r="J233" s="6">
        <v>0</v>
      </c>
      <c r="K233" s="6">
        <v>0</v>
      </c>
      <c r="L233" s="6">
        <v>0.17499999999999999</v>
      </c>
      <c r="M233" s="6">
        <v>0.17499999999999999</v>
      </c>
      <c r="N233" s="6">
        <v>0.17499999999999999</v>
      </c>
      <c r="O233" s="6">
        <v>0.17499999999999999</v>
      </c>
      <c r="P233" s="6">
        <v>0</v>
      </c>
      <c r="Q233" s="4" t="s">
        <v>26</v>
      </c>
      <c r="R233" s="4">
        <v>0</v>
      </c>
      <c r="S233" s="6">
        <v>0</v>
      </c>
      <c r="T233" s="6">
        <v>24</v>
      </c>
      <c r="U233" s="6">
        <v>60</v>
      </c>
      <c r="V233" s="6">
        <f>IF(ISERROR(VLOOKUP($S$233,'TAR FIN'!$A$1:$O$85,15,0)),0,VLOOKUP($S$233,'TAR FIN'!$A$1:$O$85,15,0))</f>
        <v>0</v>
      </c>
      <c r="W233" s="6">
        <f>IF(ISERROR(VLOOKUP($T$233,'TAR FIN'!$A$1:$O$85,15,0)),0,VLOOKUP($T$233,'TAR FIN'!$A$1:$O$85,15,0))</f>
        <v>440.79</v>
      </c>
      <c r="X233" s="6">
        <f>IF(ISERROR(VLOOKUP($U$233,'TAR FIN'!$A$1:$O$85,15,0)),0,VLOOKUP($U$233,'TAR FIN'!$A$1:$O$85,15,0))</f>
        <v>119.97</v>
      </c>
      <c r="Y233" s="6"/>
      <c r="Z233" s="6">
        <f ca="1">('TUSD BE'!$AM$47+'TUSD BF'!$AM$47+'TUSD CVA'!$AM$47)*1</f>
        <v>489.29955604915324</v>
      </c>
      <c r="AA233" s="6">
        <f>('TE BE'!$AB$37+'TE BF'!$AB$37+'TE CVA'!$AB$37)*1</f>
        <v>122.58638016056723</v>
      </c>
      <c r="AB233" s="6">
        <f>$K$233*$V$233</f>
        <v>0</v>
      </c>
      <c r="AC233" s="6">
        <f>$M$233*$W$233</f>
        <v>77.138249999999999</v>
      </c>
      <c r="AD233" s="6">
        <f>$O$233*$X$233</f>
        <v>20.99475</v>
      </c>
      <c r="AE233" s="6">
        <f>$K$233*$Y$233</f>
        <v>0</v>
      </c>
      <c r="AF233" s="6">
        <f ca="1">$M$233*$Z$233</f>
        <v>85.627422308601808</v>
      </c>
      <c r="AG233" s="6">
        <f>$O$233*$AA$233</f>
        <v>21.452616528099263</v>
      </c>
    </row>
    <row r="234" spans="1:33" ht="11.25" customHeight="1" x14ac:dyDescent="0.3">
      <c r="A234" s="4" t="s">
        <v>52</v>
      </c>
      <c r="B234" s="4" t="s">
        <v>33</v>
      </c>
      <c r="C234" s="4" t="s">
        <v>39</v>
      </c>
      <c r="D234" s="4" t="s">
        <v>34</v>
      </c>
      <c r="E234" s="4" t="s">
        <v>25</v>
      </c>
      <c r="F234" s="4" t="s">
        <v>25</v>
      </c>
      <c r="G234" s="4" t="s">
        <v>25</v>
      </c>
      <c r="H234" s="4" t="s">
        <v>38</v>
      </c>
      <c r="I234" s="5">
        <v>44774</v>
      </c>
      <c r="J234" s="6">
        <v>0</v>
      </c>
      <c r="K234" s="6">
        <v>0</v>
      </c>
      <c r="L234" s="6">
        <v>32.578000000000003</v>
      </c>
      <c r="M234" s="6">
        <v>32.578000000000003</v>
      </c>
      <c r="N234" s="6">
        <v>32.578000000000003</v>
      </c>
      <c r="O234" s="6">
        <v>32.578000000000003</v>
      </c>
      <c r="P234" s="6">
        <v>0</v>
      </c>
      <c r="Q234" s="4" t="s">
        <v>26</v>
      </c>
      <c r="R234" s="4">
        <v>0</v>
      </c>
      <c r="S234" s="6">
        <v>0</v>
      </c>
      <c r="T234" s="6">
        <v>24</v>
      </c>
      <c r="U234" s="6">
        <v>60</v>
      </c>
      <c r="V234" s="6">
        <f>IF(ISERROR(VLOOKUP($S$234,'TAR FIN'!$A$1:$O$85,15,0)),0,VLOOKUP($S$234,'TAR FIN'!$A$1:$O$85,15,0))</f>
        <v>0</v>
      </c>
      <c r="W234" s="6">
        <f>IF(ISERROR(VLOOKUP($T$234,'TAR FIN'!$A$1:$O$85,15,0)),0,VLOOKUP($T$234,'TAR FIN'!$A$1:$O$85,15,0))</f>
        <v>440.79</v>
      </c>
      <c r="X234" s="6">
        <f>IF(ISERROR(VLOOKUP($U$234,'TAR FIN'!$A$1:$O$85,15,0)),0,VLOOKUP($U$234,'TAR FIN'!$A$1:$O$85,15,0))</f>
        <v>119.97</v>
      </c>
      <c r="Y234" s="6"/>
      <c r="Z234" s="6">
        <f ca="1">('TUSD BE'!$AM$47+'TUSD BF'!$AM$47+'TUSD CVA'!$AM$47)*1</f>
        <v>489.29955604915324</v>
      </c>
      <c r="AA234" s="6">
        <f>('TE BE'!$AB$37+'TE BF'!$AB$37+'TE CVA'!$AB$37)*1</f>
        <v>122.58638016056723</v>
      </c>
      <c r="AB234" s="6">
        <f>$K$234*$V$234</f>
        <v>0</v>
      </c>
      <c r="AC234" s="6">
        <f>$M$234*$W$234</f>
        <v>14360.056620000001</v>
      </c>
      <c r="AD234" s="6">
        <f>$O$234*$X$234</f>
        <v>3908.3826600000002</v>
      </c>
      <c r="AE234" s="6">
        <f>$K$234*$Y$234</f>
        <v>0</v>
      </c>
      <c r="AF234" s="6">
        <f ca="1">$M$234*$Z$234</f>
        <v>15940.400936969316</v>
      </c>
      <c r="AG234" s="6">
        <f>$O$234*$AA$234</f>
        <v>3993.6190928709598</v>
      </c>
    </row>
    <row r="235" spans="1:33" ht="11.25" customHeight="1" x14ac:dyDescent="0.3">
      <c r="A235" s="4" t="s">
        <v>52</v>
      </c>
      <c r="B235" s="4" t="s">
        <v>33</v>
      </c>
      <c r="C235" s="4" t="s">
        <v>39</v>
      </c>
      <c r="D235" s="4" t="s">
        <v>34</v>
      </c>
      <c r="E235" s="4" t="s">
        <v>25</v>
      </c>
      <c r="F235" s="4" t="s">
        <v>25</v>
      </c>
      <c r="G235" s="4" t="s">
        <v>25</v>
      </c>
      <c r="H235" s="4" t="s">
        <v>38</v>
      </c>
      <c r="I235" s="5">
        <v>44774</v>
      </c>
      <c r="J235" s="6">
        <v>0</v>
      </c>
      <c r="K235" s="6">
        <v>0</v>
      </c>
      <c r="L235" s="6">
        <v>0.17499999999999999</v>
      </c>
      <c r="M235" s="6">
        <v>0.17499999999999999</v>
      </c>
      <c r="N235" s="6">
        <v>0.17499999999999999</v>
      </c>
      <c r="O235" s="6">
        <v>0.17499999999999999</v>
      </c>
      <c r="P235" s="6">
        <v>0</v>
      </c>
      <c r="Q235" s="4" t="s">
        <v>26</v>
      </c>
      <c r="R235" s="4">
        <v>0</v>
      </c>
      <c r="S235" s="6">
        <v>0</v>
      </c>
      <c r="T235" s="6">
        <v>24</v>
      </c>
      <c r="U235" s="6">
        <v>60</v>
      </c>
      <c r="V235" s="6">
        <f>IF(ISERROR(VLOOKUP($S$235,'TAR FIN'!$A$1:$O$85,15,0)),0,VLOOKUP($S$235,'TAR FIN'!$A$1:$O$85,15,0))</f>
        <v>0</v>
      </c>
      <c r="W235" s="6">
        <f>IF(ISERROR(VLOOKUP($T$235,'TAR FIN'!$A$1:$O$85,15,0)),0,VLOOKUP($T$235,'TAR FIN'!$A$1:$O$85,15,0))</f>
        <v>440.79</v>
      </c>
      <c r="X235" s="6">
        <f>IF(ISERROR(VLOOKUP($U$235,'TAR FIN'!$A$1:$O$85,15,0)),0,VLOOKUP($U$235,'TAR FIN'!$A$1:$O$85,15,0))</f>
        <v>119.97</v>
      </c>
      <c r="Y235" s="6"/>
      <c r="Z235" s="6">
        <f ca="1">('TUSD BE'!$AM$47+'TUSD BF'!$AM$47+'TUSD CVA'!$AM$47)*1</f>
        <v>489.29955604915324</v>
      </c>
      <c r="AA235" s="6">
        <f>('TE BE'!$AB$37+'TE BF'!$AB$37+'TE CVA'!$AB$37)*1</f>
        <v>122.58638016056723</v>
      </c>
      <c r="AB235" s="6">
        <f>$K$235*$V$235</f>
        <v>0</v>
      </c>
      <c r="AC235" s="6">
        <f>$M$235*$W$235</f>
        <v>77.138249999999999</v>
      </c>
      <c r="AD235" s="6">
        <f>$O$235*$X$235</f>
        <v>20.99475</v>
      </c>
      <c r="AE235" s="6">
        <f>$K$235*$Y$235</f>
        <v>0</v>
      </c>
      <c r="AF235" s="6">
        <f ca="1">$M$235*$Z$235</f>
        <v>85.627422308601808</v>
      </c>
      <c r="AG235" s="6">
        <f>$O$235*$AA$235</f>
        <v>21.452616528099263</v>
      </c>
    </row>
    <row r="236" spans="1:33" ht="11.25" customHeight="1" x14ac:dyDescent="0.3">
      <c r="A236" s="4" t="s">
        <v>21</v>
      </c>
      <c r="B236" s="4" t="s">
        <v>33</v>
      </c>
      <c r="C236" s="4" t="s">
        <v>39</v>
      </c>
      <c r="D236" s="4" t="s">
        <v>34</v>
      </c>
      <c r="E236" s="4" t="s">
        <v>25</v>
      </c>
      <c r="F236" s="4" t="s">
        <v>25</v>
      </c>
      <c r="G236" s="4" t="s">
        <v>25</v>
      </c>
      <c r="H236" s="4" t="s">
        <v>40</v>
      </c>
      <c r="I236" s="5">
        <v>44440</v>
      </c>
      <c r="J236" s="6">
        <v>0</v>
      </c>
      <c r="K236" s="6">
        <v>0</v>
      </c>
      <c r="L236" s="6">
        <v>0.14399999999999999</v>
      </c>
      <c r="M236" s="6">
        <v>0.14399999999999999</v>
      </c>
      <c r="N236" s="6">
        <v>0.14399999999999999</v>
      </c>
      <c r="O236" s="6">
        <v>0.14399999999999999</v>
      </c>
      <c r="P236" s="6">
        <v>0</v>
      </c>
      <c r="Q236" s="4" t="s">
        <v>26</v>
      </c>
      <c r="R236" s="4">
        <v>0</v>
      </c>
      <c r="S236" s="6">
        <v>0</v>
      </c>
      <c r="T236" s="6">
        <v>50</v>
      </c>
      <c r="U236" s="6">
        <v>72</v>
      </c>
      <c r="V236" s="6">
        <f>IF(ISERROR(VLOOKUP($S$236,'TAR FIN'!$A$1:$O$85,15,0)),0,VLOOKUP($S$236,'TAR FIN'!$A$1:$O$85,15,0))</f>
        <v>0</v>
      </c>
      <c r="W236" s="6">
        <f>IF(ISERROR(VLOOKUP($T$236,'TAR FIN'!$A$1:$O$85,15,0)),0,VLOOKUP($T$236,'TAR FIN'!$A$1:$O$85,15,0))</f>
        <v>1155.83</v>
      </c>
      <c r="X236" s="6">
        <f>IF(ISERROR(VLOOKUP($U$236,'TAR FIN'!$A$1:$O$85,15,0)),0,VLOOKUP($U$236,'TAR FIN'!$A$1:$O$85,15,0))</f>
        <v>119.97</v>
      </c>
      <c r="Y236" s="6"/>
      <c r="Z236" s="6">
        <f ca="1">('TUSD BE'!$AM$46+'TUSD BF'!$AM$46+'TUSD CVA'!$AM$46)*1</f>
        <v>1213.4667429315973</v>
      </c>
      <c r="AA236" s="6">
        <f>('TE BE'!$AB$36+'TE BF'!$AB$36+'TE CVA'!$AB$36)*1</f>
        <v>122.58638016056723</v>
      </c>
      <c r="AB236" s="6">
        <f>$K$236*$V$236</f>
        <v>0</v>
      </c>
      <c r="AC236" s="6">
        <f>$M$236*$W$236</f>
        <v>166.43951999999999</v>
      </c>
      <c r="AD236" s="6">
        <f>$O$236*$X$236</f>
        <v>17.275679999999998</v>
      </c>
      <c r="AE236" s="6">
        <f>$K$236*$Y$236</f>
        <v>0</v>
      </c>
      <c r="AF236" s="6">
        <f ca="1">$M$236*$Z$236</f>
        <v>174.73921098215001</v>
      </c>
      <c r="AG236" s="6">
        <f>$O$236*$AA$236</f>
        <v>17.652438743121682</v>
      </c>
    </row>
    <row r="237" spans="1:33" ht="11.25" customHeight="1" x14ac:dyDescent="0.3">
      <c r="A237" s="4" t="s">
        <v>21</v>
      </c>
      <c r="B237" s="4" t="s">
        <v>33</v>
      </c>
      <c r="C237" s="4" t="s">
        <v>39</v>
      </c>
      <c r="D237" s="4" t="s">
        <v>34</v>
      </c>
      <c r="E237" s="4" t="s">
        <v>25</v>
      </c>
      <c r="F237" s="4" t="s">
        <v>25</v>
      </c>
      <c r="G237" s="4" t="s">
        <v>25</v>
      </c>
      <c r="H237" s="4" t="s">
        <v>40</v>
      </c>
      <c r="I237" s="5">
        <v>44470</v>
      </c>
      <c r="J237" s="6">
        <v>0</v>
      </c>
      <c r="K237" s="6">
        <v>0</v>
      </c>
      <c r="L237" s="6">
        <v>0.33</v>
      </c>
      <c r="M237" s="6">
        <v>0.33</v>
      </c>
      <c r="N237" s="6">
        <v>0.33</v>
      </c>
      <c r="O237" s="6">
        <v>0.33</v>
      </c>
      <c r="P237" s="6">
        <v>0</v>
      </c>
      <c r="Q237" s="4" t="s">
        <v>26</v>
      </c>
      <c r="R237" s="4">
        <v>0</v>
      </c>
      <c r="S237" s="6">
        <v>0</v>
      </c>
      <c r="T237" s="6">
        <v>50</v>
      </c>
      <c r="U237" s="6">
        <v>72</v>
      </c>
      <c r="V237" s="6">
        <f>IF(ISERROR(VLOOKUP($S$237,'TAR FIN'!$A$1:$O$85,15,0)),0,VLOOKUP($S$237,'TAR FIN'!$A$1:$O$85,15,0))</f>
        <v>0</v>
      </c>
      <c r="W237" s="6">
        <f>IF(ISERROR(VLOOKUP($T$237,'TAR FIN'!$A$1:$O$85,15,0)),0,VLOOKUP($T$237,'TAR FIN'!$A$1:$O$85,15,0))</f>
        <v>1155.83</v>
      </c>
      <c r="X237" s="6">
        <f>IF(ISERROR(VLOOKUP($U$237,'TAR FIN'!$A$1:$O$85,15,0)),0,VLOOKUP($U$237,'TAR FIN'!$A$1:$O$85,15,0))</f>
        <v>119.97</v>
      </c>
      <c r="Y237" s="6"/>
      <c r="Z237" s="6">
        <f ca="1">('TUSD BE'!$AM$46+'TUSD BF'!$AM$46+'TUSD CVA'!$AM$46)*1</f>
        <v>1213.4667429315973</v>
      </c>
      <c r="AA237" s="6">
        <f>('TE BE'!$AB$36+'TE BF'!$AB$36+'TE CVA'!$AB$36)*1</f>
        <v>122.58638016056723</v>
      </c>
      <c r="AB237" s="6">
        <f>$K$237*$V$237</f>
        <v>0</v>
      </c>
      <c r="AC237" s="6">
        <f>$M$237*$W$237</f>
        <v>381.4239</v>
      </c>
      <c r="AD237" s="6">
        <f>$O$237*$X$237</f>
        <v>39.5901</v>
      </c>
      <c r="AE237" s="6">
        <f>$K$237*$Y$237</f>
        <v>0</v>
      </c>
      <c r="AF237" s="6">
        <f ca="1">$M$237*$Z$237</f>
        <v>400.44402516742713</v>
      </c>
      <c r="AG237" s="6">
        <f>$O$237*$AA$237</f>
        <v>40.453505452987187</v>
      </c>
    </row>
    <row r="238" spans="1:33" ht="11.25" customHeight="1" x14ac:dyDescent="0.3">
      <c r="A238" s="4" t="s">
        <v>21</v>
      </c>
      <c r="B238" s="4" t="s">
        <v>33</v>
      </c>
      <c r="C238" s="4" t="s">
        <v>39</v>
      </c>
      <c r="D238" s="4" t="s">
        <v>34</v>
      </c>
      <c r="E238" s="4" t="s">
        <v>25</v>
      </c>
      <c r="F238" s="4" t="s">
        <v>25</v>
      </c>
      <c r="G238" s="4" t="s">
        <v>25</v>
      </c>
      <c r="H238" s="4" t="s">
        <v>40</v>
      </c>
      <c r="I238" s="5">
        <v>44501</v>
      </c>
      <c r="J238" s="6">
        <v>0</v>
      </c>
      <c r="K238" s="6">
        <v>0</v>
      </c>
      <c r="L238" s="6">
        <v>0.14399999999999999</v>
      </c>
      <c r="M238" s="6">
        <v>0.14399999999999999</v>
      </c>
      <c r="N238" s="6">
        <v>0.14399999999999999</v>
      </c>
      <c r="O238" s="6">
        <v>0.14399999999999999</v>
      </c>
      <c r="P238" s="6">
        <v>0</v>
      </c>
      <c r="Q238" s="4" t="s">
        <v>26</v>
      </c>
      <c r="R238" s="4">
        <v>0</v>
      </c>
      <c r="S238" s="6">
        <v>0</v>
      </c>
      <c r="T238" s="6">
        <v>50</v>
      </c>
      <c r="U238" s="6">
        <v>72</v>
      </c>
      <c r="V238" s="6">
        <f>IF(ISERROR(VLOOKUP($S$238,'TAR FIN'!$A$1:$O$85,15,0)),0,VLOOKUP($S$238,'TAR FIN'!$A$1:$O$85,15,0))</f>
        <v>0</v>
      </c>
      <c r="W238" s="6">
        <f>IF(ISERROR(VLOOKUP($T$238,'TAR FIN'!$A$1:$O$85,15,0)),0,VLOOKUP($T$238,'TAR FIN'!$A$1:$O$85,15,0))</f>
        <v>1155.83</v>
      </c>
      <c r="X238" s="6">
        <f>IF(ISERROR(VLOOKUP($U$238,'TAR FIN'!$A$1:$O$85,15,0)),0,VLOOKUP($U$238,'TAR FIN'!$A$1:$O$85,15,0))</f>
        <v>119.97</v>
      </c>
      <c r="Y238" s="6"/>
      <c r="Z238" s="6">
        <f ca="1">('TUSD BE'!$AM$46+'TUSD BF'!$AM$46+'TUSD CVA'!$AM$46)*1</f>
        <v>1213.4667429315973</v>
      </c>
      <c r="AA238" s="6">
        <f>('TE BE'!$AB$36+'TE BF'!$AB$36+'TE CVA'!$AB$36)*1</f>
        <v>122.58638016056723</v>
      </c>
      <c r="AB238" s="6">
        <f>$K$238*$V$238</f>
        <v>0</v>
      </c>
      <c r="AC238" s="6">
        <f>$M$238*$W$238</f>
        <v>166.43951999999999</v>
      </c>
      <c r="AD238" s="6">
        <f>$O$238*$X$238</f>
        <v>17.275679999999998</v>
      </c>
      <c r="AE238" s="6">
        <f>$K$238*$Y$238</f>
        <v>0</v>
      </c>
      <c r="AF238" s="6">
        <f ca="1">$M$238*$Z$238</f>
        <v>174.73921098215001</v>
      </c>
      <c r="AG238" s="6">
        <f>$O$238*$AA$238</f>
        <v>17.652438743121682</v>
      </c>
    </row>
    <row r="239" spans="1:33" ht="11.25" customHeight="1" x14ac:dyDescent="0.3">
      <c r="A239" s="4" t="s">
        <v>21</v>
      </c>
      <c r="B239" s="4" t="s">
        <v>33</v>
      </c>
      <c r="C239" s="4" t="s">
        <v>39</v>
      </c>
      <c r="D239" s="4" t="s">
        <v>34</v>
      </c>
      <c r="E239" s="4" t="s">
        <v>25</v>
      </c>
      <c r="F239" s="4" t="s">
        <v>25</v>
      </c>
      <c r="G239" s="4" t="s">
        <v>25</v>
      </c>
      <c r="H239" s="4" t="s">
        <v>40</v>
      </c>
      <c r="I239" s="5">
        <v>44531</v>
      </c>
      <c r="J239" s="6">
        <v>0</v>
      </c>
      <c r="K239" s="6">
        <v>0</v>
      </c>
      <c r="L239" s="6">
        <v>0.185</v>
      </c>
      <c r="M239" s="6">
        <v>0.185</v>
      </c>
      <c r="N239" s="6">
        <v>0.185</v>
      </c>
      <c r="O239" s="6">
        <v>0.185</v>
      </c>
      <c r="P239" s="6">
        <v>0</v>
      </c>
      <c r="Q239" s="4" t="s">
        <v>26</v>
      </c>
      <c r="R239" s="4">
        <v>0</v>
      </c>
      <c r="S239" s="6">
        <v>0</v>
      </c>
      <c r="T239" s="6">
        <v>50</v>
      </c>
      <c r="U239" s="6">
        <v>72</v>
      </c>
      <c r="V239" s="6">
        <f>IF(ISERROR(VLOOKUP($S$239,'TAR FIN'!$A$1:$O$85,15,0)),0,VLOOKUP($S$239,'TAR FIN'!$A$1:$O$85,15,0))</f>
        <v>0</v>
      </c>
      <c r="W239" s="6">
        <f>IF(ISERROR(VLOOKUP($T$239,'TAR FIN'!$A$1:$O$85,15,0)),0,VLOOKUP($T$239,'TAR FIN'!$A$1:$O$85,15,0))</f>
        <v>1155.83</v>
      </c>
      <c r="X239" s="6">
        <f>IF(ISERROR(VLOOKUP($U$239,'TAR FIN'!$A$1:$O$85,15,0)),0,VLOOKUP($U$239,'TAR FIN'!$A$1:$O$85,15,0))</f>
        <v>119.97</v>
      </c>
      <c r="Y239" s="6"/>
      <c r="Z239" s="6">
        <f ca="1">('TUSD BE'!$AM$46+'TUSD BF'!$AM$46+'TUSD CVA'!$AM$46)*1</f>
        <v>1213.4667429315973</v>
      </c>
      <c r="AA239" s="6">
        <f>('TE BE'!$AB$36+'TE BF'!$AB$36+'TE CVA'!$AB$36)*1</f>
        <v>122.58638016056723</v>
      </c>
      <c r="AB239" s="6">
        <f>$K$239*$V$239</f>
        <v>0</v>
      </c>
      <c r="AC239" s="6">
        <f>$M$239*$W$239</f>
        <v>213.82854999999998</v>
      </c>
      <c r="AD239" s="6">
        <f>$O$239*$X$239</f>
        <v>22.19445</v>
      </c>
      <c r="AE239" s="6">
        <f>$K$239*$Y$239</f>
        <v>0</v>
      </c>
      <c r="AF239" s="6">
        <f ca="1">$M$239*$Z$239</f>
        <v>224.4913474423455</v>
      </c>
      <c r="AG239" s="6">
        <f>$O$239*$AA$239</f>
        <v>22.678480329704936</v>
      </c>
    </row>
    <row r="240" spans="1:33" ht="11.25" customHeight="1" x14ac:dyDescent="0.3">
      <c r="A240" s="4" t="s">
        <v>21</v>
      </c>
      <c r="B240" s="4" t="s">
        <v>33</v>
      </c>
      <c r="C240" s="4" t="s">
        <v>39</v>
      </c>
      <c r="D240" s="4" t="s">
        <v>34</v>
      </c>
      <c r="E240" s="4" t="s">
        <v>25</v>
      </c>
      <c r="F240" s="4" t="s">
        <v>25</v>
      </c>
      <c r="G240" s="4" t="s">
        <v>25</v>
      </c>
      <c r="H240" s="4" t="s">
        <v>40</v>
      </c>
      <c r="I240" s="5">
        <v>44562</v>
      </c>
      <c r="J240" s="6">
        <v>0</v>
      </c>
      <c r="K240" s="6">
        <v>0</v>
      </c>
      <c r="L240" s="6">
        <v>0.10299999999999999</v>
      </c>
      <c r="M240" s="6">
        <v>0.10299999999999999</v>
      </c>
      <c r="N240" s="6">
        <v>0.10299999999999999</v>
      </c>
      <c r="O240" s="6">
        <v>0.10299999999999999</v>
      </c>
      <c r="P240" s="6">
        <v>0</v>
      </c>
      <c r="Q240" s="4" t="s">
        <v>26</v>
      </c>
      <c r="R240" s="4">
        <v>0</v>
      </c>
      <c r="S240" s="6">
        <v>0</v>
      </c>
      <c r="T240" s="6">
        <v>50</v>
      </c>
      <c r="U240" s="6">
        <v>72</v>
      </c>
      <c r="V240" s="6">
        <f>IF(ISERROR(VLOOKUP($S$240,'TAR FIN'!$A$1:$O$85,15,0)),0,VLOOKUP($S$240,'TAR FIN'!$A$1:$O$85,15,0))</f>
        <v>0</v>
      </c>
      <c r="W240" s="6">
        <f>IF(ISERROR(VLOOKUP($T$240,'TAR FIN'!$A$1:$O$85,15,0)),0,VLOOKUP($T$240,'TAR FIN'!$A$1:$O$85,15,0))</f>
        <v>1155.83</v>
      </c>
      <c r="X240" s="6">
        <f>IF(ISERROR(VLOOKUP($U$240,'TAR FIN'!$A$1:$O$85,15,0)),0,VLOOKUP($U$240,'TAR FIN'!$A$1:$O$85,15,0))</f>
        <v>119.97</v>
      </c>
      <c r="Y240" s="6"/>
      <c r="Z240" s="6">
        <f ca="1">('TUSD BE'!$AM$46+'TUSD BF'!$AM$46+'TUSD CVA'!$AM$46)*1</f>
        <v>1213.4667429315973</v>
      </c>
      <c r="AA240" s="6">
        <f>('TE BE'!$AB$36+'TE BF'!$AB$36+'TE CVA'!$AB$36)*1</f>
        <v>122.58638016056723</v>
      </c>
      <c r="AB240" s="6">
        <f>$K$240*$V$240</f>
        <v>0</v>
      </c>
      <c r="AC240" s="6">
        <f>$M$240*$W$240</f>
        <v>119.05048999999998</v>
      </c>
      <c r="AD240" s="6">
        <f>$O$240*$X$240</f>
        <v>12.356909999999999</v>
      </c>
      <c r="AE240" s="6">
        <f>$K$240*$Y$240</f>
        <v>0</v>
      </c>
      <c r="AF240" s="6">
        <f ca="1">$M$240*$Z$240</f>
        <v>124.98707452195451</v>
      </c>
      <c r="AG240" s="6">
        <f>$O$240*$AA$240</f>
        <v>12.626397156538424</v>
      </c>
    </row>
    <row r="241" spans="1:33" ht="11.25" customHeight="1" x14ac:dyDescent="0.3">
      <c r="A241" s="4" t="s">
        <v>21</v>
      </c>
      <c r="B241" s="4" t="s">
        <v>33</v>
      </c>
      <c r="C241" s="4" t="s">
        <v>39</v>
      </c>
      <c r="D241" s="4" t="s">
        <v>34</v>
      </c>
      <c r="E241" s="4" t="s">
        <v>25</v>
      </c>
      <c r="F241" s="4" t="s">
        <v>25</v>
      </c>
      <c r="G241" s="4" t="s">
        <v>25</v>
      </c>
      <c r="H241" s="4" t="s">
        <v>40</v>
      </c>
      <c r="I241" s="5">
        <v>44593</v>
      </c>
      <c r="J241" s="6">
        <v>0</v>
      </c>
      <c r="K241" s="6">
        <v>0</v>
      </c>
      <c r="L241" s="6">
        <v>0.19600000000000001</v>
      </c>
      <c r="M241" s="6">
        <v>0.19600000000000001</v>
      </c>
      <c r="N241" s="6">
        <v>0.19600000000000001</v>
      </c>
      <c r="O241" s="6">
        <v>0.19600000000000001</v>
      </c>
      <c r="P241" s="6">
        <v>0</v>
      </c>
      <c r="Q241" s="4" t="s">
        <v>26</v>
      </c>
      <c r="R241" s="4">
        <v>0</v>
      </c>
      <c r="S241" s="6">
        <v>0</v>
      </c>
      <c r="T241" s="6">
        <v>50</v>
      </c>
      <c r="U241" s="6">
        <v>72</v>
      </c>
      <c r="V241" s="6">
        <f>IF(ISERROR(VLOOKUP($S$241,'TAR FIN'!$A$1:$O$85,15,0)),0,VLOOKUP($S$241,'TAR FIN'!$A$1:$O$85,15,0))</f>
        <v>0</v>
      </c>
      <c r="W241" s="6">
        <f>IF(ISERROR(VLOOKUP($T$241,'TAR FIN'!$A$1:$O$85,15,0)),0,VLOOKUP($T$241,'TAR FIN'!$A$1:$O$85,15,0))</f>
        <v>1155.83</v>
      </c>
      <c r="X241" s="6">
        <f>IF(ISERROR(VLOOKUP($U$241,'TAR FIN'!$A$1:$O$85,15,0)),0,VLOOKUP($U$241,'TAR FIN'!$A$1:$O$85,15,0))</f>
        <v>119.97</v>
      </c>
      <c r="Y241" s="6"/>
      <c r="Z241" s="6">
        <f ca="1">('TUSD BE'!$AM$46+'TUSD BF'!$AM$46+'TUSD CVA'!$AM$46)*1</f>
        <v>1213.4667429315973</v>
      </c>
      <c r="AA241" s="6">
        <f>('TE BE'!$AB$36+'TE BF'!$AB$36+'TE CVA'!$AB$36)*1</f>
        <v>122.58638016056723</v>
      </c>
      <c r="AB241" s="6">
        <f>$K$241*$V$241</f>
        <v>0</v>
      </c>
      <c r="AC241" s="6">
        <f>$M$241*$W$241</f>
        <v>226.54267999999999</v>
      </c>
      <c r="AD241" s="6">
        <f>$O$241*$X$241</f>
        <v>23.514120000000002</v>
      </c>
      <c r="AE241" s="6">
        <f>$K$241*$Y$241</f>
        <v>0</v>
      </c>
      <c r="AF241" s="6">
        <f ca="1">$M$241*$Z$241</f>
        <v>237.83948161459307</v>
      </c>
      <c r="AG241" s="6">
        <f>$O$241*$AA$241</f>
        <v>24.026930511471178</v>
      </c>
    </row>
    <row r="242" spans="1:33" ht="11.25" customHeight="1" x14ac:dyDescent="0.3">
      <c r="A242" s="4" t="s">
        <v>21</v>
      </c>
      <c r="B242" s="4" t="s">
        <v>33</v>
      </c>
      <c r="C242" s="4" t="s">
        <v>39</v>
      </c>
      <c r="D242" s="4" t="s">
        <v>34</v>
      </c>
      <c r="E242" s="4" t="s">
        <v>25</v>
      </c>
      <c r="F242" s="4" t="s">
        <v>25</v>
      </c>
      <c r="G242" s="4" t="s">
        <v>25</v>
      </c>
      <c r="H242" s="4" t="s">
        <v>40</v>
      </c>
      <c r="I242" s="5">
        <v>44621</v>
      </c>
      <c r="J242" s="6">
        <v>0</v>
      </c>
      <c r="K242" s="6">
        <v>0</v>
      </c>
      <c r="L242" s="6">
        <v>0.185</v>
      </c>
      <c r="M242" s="6">
        <v>0.185</v>
      </c>
      <c r="N242" s="6">
        <v>0.185</v>
      </c>
      <c r="O242" s="6">
        <v>0.185</v>
      </c>
      <c r="P242" s="6">
        <v>0</v>
      </c>
      <c r="Q242" s="4" t="s">
        <v>26</v>
      </c>
      <c r="R242" s="4">
        <v>0</v>
      </c>
      <c r="S242" s="6">
        <v>0</v>
      </c>
      <c r="T242" s="6">
        <v>50</v>
      </c>
      <c r="U242" s="6">
        <v>72</v>
      </c>
      <c r="V242" s="6">
        <f>IF(ISERROR(VLOOKUP($S$242,'TAR FIN'!$A$1:$O$85,15,0)),0,VLOOKUP($S$242,'TAR FIN'!$A$1:$O$85,15,0))</f>
        <v>0</v>
      </c>
      <c r="W242" s="6">
        <f>IF(ISERROR(VLOOKUP($T$242,'TAR FIN'!$A$1:$O$85,15,0)),0,VLOOKUP($T$242,'TAR FIN'!$A$1:$O$85,15,0))</f>
        <v>1155.83</v>
      </c>
      <c r="X242" s="6">
        <f>IF(ISERROR(VLOOKUP($U$242,'TAR FIN'!$A$1:$O$85,15,0)),0,VLOOKUP($U$242,'TAR FIN'!$A$1:$O$85,15,0))</f>
        <v>119.97</v>
      </c>
      <c r="Y242" s="6"/>
      <c r="Z242" s="6">
        <f ca="1">('TUSD BE'!$AM$46+'TUSD BF'!$AM$46+'TUSD CVA'!$AM$46)*1</f>
        <v>1213.4667429315973</v>
      </c>
      <c r="AA242" s="6">
        <f>('TE BE'!$AB$36+'TE BF'!$AB$36+'TE CVA'!$AB$36)*1</f>
        <v>122.58638016056723</v>
      </c>
      <c r="AB242" s="6">
        <f>$K$242*$V$242</f>
        <v>0</v>
      </c>
      <c r="AC242" s="6">
        <f>$M$242*$W$242</f>
        <v>213.82854999999998</v>
      </c>
      <c r="AD242" s="6">
        <f>$O$242*$X$242</f>
        <v>22.19445</v>
      </c>
      <c r="AE242" s="6">
        <f>$K$242*$Y$242</f>
        <v>0</v>
      </c>
      <c r="AF242" s="6">
        <f ca="1">$M$242*$Z$242</f>
        <v>224.4913474423455</v>
      </c>
      <c r="AG242" s="6">
        <f>$O$242*$AA$242</f>
        <v>22.678480329704936</v>
      </c>
    </row>
    <row r="243" spans="1:33" ht="11.25" customHeight="1" x14ac:dyDescent="0.3">
      <c r="A243" s="4" t="s">
        <v>21</v>
      </c>
      <c r="B243" s="4" t="s">
        <v>33</v>
      </c>
      <c r="C243" s="4" t="s">
        <v>39</v>
      </c>
      <c r="D243" s="4" t="s">
        <v>34</v>
      </c>
      <c r="E243" s="4" t="s">
        <v>25</v>
      </c>
      <c r="F243" s="4" t="s">
        <v>25</v>
      </c>
      <c r="G243" s="4" t="s">
        <v>25</v>
      </c>
      <c r="H243" s="4" t="s">
        <v>40</v>
      </c>
      <c r="I243" s="5">
        <v>44652</v>
      </c>
      <c r="J243" s="6">
        <v>0</v>
      </c>
      <c r="K243" s="6">
        <v>0</v>
      </c>
      <c r="L243" s="6">
        <v>0.22600000000000001</v>
      </c>
      <c r="M243" s="6">
        <v>0.22600000000000001</v>
      </c>
      <c r="N243" s="6">
        <v>0.22600000000000001</v>
      </c>
      <c r="O243" s="6">
        <v>0.22600000000000001</v>
      </c>
      <c r="P243" s="6">
        <v>0</v>
      </c>
      <c r="Q243" s="4" t="s">
        <v>26</v>
      </c>
      <c r="R243" s="4">
        <v>0</v>
      </c>
      <c r="S243" s="6">
        <v>0</v>
      </c>
      <c r="T243" s="6">
        <v>50</v>
      </c>
      <c r="U243" s="6">
        <v>72</v>
      </c>
      <c r="V243" s="6">
        <f>IF(ISERROR(VLOOKUP($S$243,'TAR FIN'!$A$1:$O$85,15,0)),0,VLOOKUP($S$243,'TAR FIN'!$A$1:$O$85,15,0))</f>
        <v>0</v>
      </c>
      <c r="W243" s="6">
        <f>IF(ISERROR(VLOOKUP($T$243,'TAR FIN'!$A$1:$O$85,15,0)),0,VLOOKUP($T$243,'TAR FIN'!$A$1:$O$85,15,0))</f>
        <v>1155.83</v>
      </c>
      <c r="X243" s="6">
        <f>IF(ISERROR(VLOOKUP($U$243,'TAR FIN'!$A$1:$O$85,15,0)),0,VLOOKUP($U$243,'TAR FIN'!$A$1:$O$85,15,0))</f>
        <v>119.97</v>
      </c>
      <c r="Y243" s="6"/>
      <c r="Z243" s="6">
        <f ca="1">('TUSD BE'!$AM$46+'TUSD BF'!$AM$46+'TUSD CVA'!$AM$46)*1</f>
        <v>1213.4667429315973</v>
      </c>
      <c r="AA243" s="6">
        <f>('TE BE'!$AB$36+'TE BF'!$AB$36+'TE CVA'!$AB$36)*1</f>
        <v>122.58638016056723</v>
      </c>
      <c r="AB243" s="6">
        <f>$K$243*$V$243</f>
        <v>0</v>
      </c>
      <c r="AC243" s="6">
        <f>$M$243*$W$243</f>
        <v>261.21758</v>
      </c>
      <c r="AD243" s="6">
        <f>$O$243*$X$243</f>
        <v>27.113220000000002</v>
      </c>
      <c r="AE243" s="6">
        <f>$K$243*$Y$243</f>
        <v>0</v>
      </c>
      <c r="AF243" s="6">
        <f ca="1">$M$243*$Z$243</f>
        <v>274.24348390254102</v>
      </c>
      <c r="AG243" s="6">
        <f>$O$243*$AA$243</f>
        <v>27.704521916288193</v>
      </c>
    </row>
    <row r="244" spans="1:33" ht="11.25" customHeight="1" x14ac:dyDescent="0.3">
      <c r="A244" s="4" t="s">
        <v>21</v>
      </c>
      <c r="B244" s="4" t="s">
        <v>33</v>
      </c>
      <c r="C244" s="4" t="s">
        <v>39</v>
      </c>
      <c r="D244" s="4" t="s">
        <v>34</v>
      </c>
      <c r="E244" s="4" t="s">
        <v>25</v>
      </c>
      <c r="F244" s="4" t="s">
        <v>25</v>
      </c>
      <c r="G244" s="4" t="s">
        <v>25</v>
      </c>
      <c r="H244" s="4" t="s">
        <v>40</v>
      </c>
      <c r="I244" s="5">
        <v>44682</v>
      </c>
      <c r="J244" s="6">
        <v>0</v>
      </c>
      <c r="K244" s="6">
        <v>0</v>
      </c>
      <c r="L244" s="6">
        <v>0.19600000000000001</v>
      </c>
      <c r="M244" s="6">
        <v>0.19600000000000001</v>
      </c>
      <c r="N244" s="6">
        <v>0.19600000000000001</v>
      </c>
      <c r="O244" s="6">
        <v>0.19600000000000001</v>
      </c>
      <c r="P244" s="6">
        <v>0</v>
      </c>
      <c r="Q244" s="4" t="s">
        <v>26</v>
      </c>
      <c r="R244" s="4">
        <v>0</v>
      </c>
      <c r="S244" s="6">
        <v>0</v>
      </c>
      <c r="T244" s="6">
        <v>50</v>
      </c>
      <c r="U244" s="6">
        <v>72</v>
      </c>
      <c r="V244" s="6">
        <f>IF(ISERROR(VLOOKUP($S$244,'TAR FIN'!$A$1:$O$85,15,0)),0,VLOOKUP($S$244,'TAR FIN'!$A$1:$O$85,15,0))</f>
        <v>0</v>
      </c>
      <c r="W244" s="6">
        <f>IF(ISERROR(VLOOKUP($T$244,'TAR FIN'!$A$1:$O$85,15,0)),0,VLOOKUP($T$244,'TAR FIN'!$A$1:$O$85,15,0))</f>
        <v>1155.83</v>
      </c>
      <c r="X244" s="6">
        <f>IF(ISERROR(VLOOKUP($U$244,'TAR FIN'!$A$1:$O$85,15,0)),0,VLOOKUP($U$244,'TAR FIN'!$A$1:$O$85,15,0))</f>
        <v>119.97</v>
      </c>
      <c r="Y244" s="6"/>
      <c r="Z244" s="6">
        <f ca="1">('TUSD BE'!$AM$46+'TUSD BF'!$AM$46+'TUSD CVA'!$AM$46)*1</f>
        <v>1213.4667429315973</v>
      </c>
      <c r="AA244" s="6">
        <f>('TE BE'!$AB$36+'TE BF'!$AB$36+'TE CVA'!$AB$36)*1</f>
        <v>122.58638016056723</v>
      </c>
      <c r="AB244" s="6">
        <f>$K$244*$V$244</f>
        <v>0</v>
      </c>
      <c r="AC244" s="6">
        <f>$M$244*$W$244</f>
        <v>226.54267999999999</v>
      </c>
      <c r="AD244" s="6">
        <f>$O$244*$X$244</f>
        <v>23.514120000000002</v>
      </c>
      <c r="AE244" s="6">
        <f>$K$244*$Y$244</f>
        <v>0</v>
      </c>
      <c r="AF244" s="6">
        <f ca="1">$M$244*$Z$244</f>
        <v>237.83948161459307</v>
      </c>
      <c r="AG244" s="6">
        <f>$O$244*$AA$244</f>
        <v>24.026930511471178</v>
      </c>
    </row>
    <row r="245" spans="1:33" ht="11.25" customHeight="1" x14ac:dyDescent="0.3">
      <c r="A245" s="4" t="s">
        <v>21</v>
      </c>
      <c r="B245" s="4" t="s">
        <v>33</v>
      </c>
      <c r="C245" s="4" t="s">
        <v>39</v>
      </c>
      <c r="D245" s="4" t="s">
        <v>34</v>
      </c>
      <c r="E245" s="4" t="s">
        <v>25</v>
      </c>
      <c r="F245" s="4" t="s">
        <v>25</v>
      </c>
      <c r="G245" s="4" t="s">
        <v>25</v>
      </c>
      <c r="H245" s="4" t="s">
        <v>40</v>
      </c>
      <c r="I245" s="5">
        <v>44713</v>
      </c>
      <c r="J245" s="6">
        <v>0</v>
      </c>
      <c r="K245" s="6">
        <v>0</v>
      </c>
      <c r="L245" s="6">
        <v>0.23599999999999999</v>
      </c>
      <c r="M245" s="6">
        <v>0.23599999999999999</v>
      </c>
      <c r="N245" s="6">
        <v>0.23599999999999999</v>
      </c>
      <c r="O245" s="6">
        <v>0.23599999999999999</v>
      </c>
      <c r="P245" s="6">
        <v>0</v>
      </c>
      <c r="Q245" s="4" t="s">
        <v>26</v>
      </c>
      <c r="R245" s="4">
        <v>0</v>
      </c>
      <c r="S245" s="6">
        <v>0</v>
      </c>
      <c r="T245" s="6">
        <v>50</v>
      </c>
      <c r="U245" s="6">
        <v>72</v>
      </c>
      <c r="V245" s="6">
        <f>IF(ISERROR(VLOOKUP($S$245,'TAR FIN'!$A$1:$O$85,15,0)),0,VLOOKUP($S$245,'TAR FIN'!$A$1:$O$85,15,0))</f>
        <v>0</v>
      </c>
      <c r="W245" s="6">
        <f>IF(ISERROR(VLOOKUP($T$245,'TAR FIN'!$A$1:$O$85,15,0)),0,VLOOKUP($T$245,'TAR FIN'!$A$1:$O$85,15,0))</f>
        <v>1155.83</v>
      </c>
      <c r="X245" s="6">
        <f>IF(ISERROR(VLOOKUP($U$245,'TAR FIN'!$A$1:$O$85,15,0)),0,VLOOKUP($U$245,'TAR FIN'!$A$1:$O$85,15,0))</f>
        <v>119.97</v>
      </c>
      <c r="Y245" s="6"/>
      <c r="Z245" s="6">
        <f ca="1">('TUSD BE'!$AM$46+'TUSD BF'!$AM$46+'TUSD CVA'!$AM$46)*1</f>
        <v>1213.4667429315973</v>
      </c>
      <c r="AA245" s="6">
        <f>('TE BE'!$AB$36+'TE BF'!$AB$36+'TE CVA'!$AB$36)*1</f>
        <v>122.58638016056723</v>
      </c>
      <c r="AB245" s="6">
        <f>$K$245*$V$245</f>
        <v>0</v>
      </c>
      <c r="AC245" s="6">
        <f>$M$245*$W$245</f>
        <v>272.77587999999997</v>
      </c>
      <c r="AD245" s="6">
        <f>$O$245*$X$245</f>
        <v>28.312919999999998</v>
      </c>
      <c r="AE245" s="6">
        <f>$K$245*$Y$245</f>
        <v>0</v>
      </c>
      <c r="AF245" s="6">
        <f ca="1">$M$245*$Z$245</f>
        <v>286.37815133185694</v>
      </c>
      <c r="AG245" s="6">
        <f>$O$245*$AA$245</f>
        <v>28.930385717893866</v>
      </c>
    </row>
    <row r="246" spans="1:33" ht="11.25" customHeight="1" x14ac:dyDescent="0.3">
      <c r="A246" s="4" t="s">
        <v>21</v>
      </c>
      <c r="B246" s="4" t="s">
        <v>33</v>
      </c>
      <c r="C246" s="4" t="s">
        <v>39</v>
      </c>
      <c r="D246" s="4" t="s">
        <v>34</v>
      </c>
      <c r="E246" s="4" t="s">
        <v>25</v>
      </c>
      <c r="F246" s="4" t="s">
        <v>25</v>
      </c>
      <c r="G246" s="4" t="s">
        <v>25</v>
      </c>
      <c r="H246" s="4" t="s">
        <v>40</v>
      </c>
      <c r="I246" s="5">
        <v>44743</v>
      </c>
      <c r="J246" s="6">
        <v>0</v>
      </c>
      <c r="K246" s="6">
        <v>0</v>
      </c>
      <c r="L246" s="6">
        <v>0.113</v>
      </c>
      <c r="M246" s="6">
        <v>0.113</v>
      </c>
      <c r="N246" s="6">
        <v>0.113</v>
      </c>
      <c r="O246" s="6">
        <v>0.113</v>
      </c>
      <c r="P246" s="6">
        <v>0</v>
      </c>
      <c r="Q246" s="4" t="s">
        <v>26</v>
      </c>
      <c r="R246" s="4">
        <v>0</v>
      </c>
      <c r="S246" s="6">
        <v>0</v>
      </c>
      <c r="T246" s="6">
        <v>50</v>
      </c>
      <c r="U246" s="6">
        <v>72</v>
      </c>
      <c r="V246" s="6">
        <f>IF(ISERROR(VLOOKUP($S$246,'TAR FIN'!$A$1:$O$85,15,0)),0,VLOOKUP($S$246,'TAR FIN'!$A$1:$O$85,15,0))</f>
        <v>0</v>
      </c>
      <c r="W246" s="6">
        <f>IF(ISERROR(VLOOKUP($T$246,'TAR FIN'!$A$1:$O$85,15,0)),0,VLOOKUP($T$246,'TAR FIN'!$A$1:$O$85,15,0))</f>
        <v>1155.83</v>
      </c>
      <c r="X246" s="6">
        <f>IF(ISERROR(VLOOKUP($U$246,'TAR FIN'!$A$1:$O$85,15,0)),0,VLOOKUP($U$246,'TAR FIN'!$A$1:$O$85,15,0))</f>
        <v>119.97</v>
      </c>
      <c r="Y246" s="6"/>
      <c r="Z246" s="6">
        <f ca="1">('TUSD BE'!$AM$46+'TUSD BF'!$AM$46+'TUSD CVA'!$AM$46)*1</f>
        <v>1213.4667429315973</v>
      </c>
      <c r="AA246" s="6">
        <f>('TE BE'!$AB$36+'TE BF'!$AB$36+'TE CVA'!$AB$36)*1</f>
        <v>122.58638016056723</v>
      </c>
      <c r="AB246" s="6">
        <f>$K$246*$V$246</f>
        <v>0</v>
      </c>
      <c r="AC246" s="6">
        <f>$M$246*$W$246</f>
        <v>130.60879</v>
      </c>
      <c r="AD246" s="6">
        <f>$O$246*$X$246</f>
        <v>13.556610000000001</v>
      </c>
      <c r="AE246" s="6">
        <f>$K$246*$Y$246</f>
        <v>0</v>
      </c>
      <c r="AF246" s="6">
        <f ca="1">$M$246*$Z$246</f>
        <v>137.12174195127051</v>
      </c>
      <c r="AG246" s="6">
        <f>$O$246*$AA$246</f>
        <v>13.852260958144097</v>
      </c>
    </row>
    <row r="247" spans="1:33" ht="11.25" customHeight="1" x14ac:dyDescent="0.3">
      <c r="A247" s="4" t="s">
        <v>28</v>
      </c>
      <c r="B247" s="4" t="s">
        <v>33</v>
      </c>
      <c r="C247" s="4" t="s">
        <v>39</v>
      </c>
      <c r="D247" s="4" t="s">
        <v>34</v>
      </c>
      <c r="E247" s="4" t="s">
        <v>25</v>
      </c>
      <c r="F247" s="4" t="s">
        <v>25</v>
      </c>
      <c r="G247" s="4" t="s">
        <v>25</v>
      </c>
      <c r="H247" s="4" t="s">
        <v>40</v>
      </c>
      <c r="I247" s="5">
        <v>44743</v>
      </c>
      <c r="J247" s="6">
        <v>0</v>
      </c>
      <c r="K247" s="6">
        <v>0</v>
      </c>
      <c r="L247" s="6">
        <v>1.2999999999999999E-2</v>
      </c>
      <c r="M247" s="6">
        <v>1.2999999999999999E-2</v>
      </c>
      <c r="N247" s="6">
        <v>1.2999999999999999E-2</v>
      </c>
      <c r="O247" s="6">
        <v>1.2999999999999999E-2</v>
      </c>
      <c r="P247" s="6">
        <v>0</v>
      </c>
      <c r="Q247" s="4" t="s">
        <v>26</v>
      </c>
      <c r="R247" s="4">
        <v>0</v>
      </c>
      <c r="S247" s="6">
        <v>0</v>
      </c>
      <c r="T247" s="6">
        <v>50</v>
      </c>
      <c r="U247" s="6">
        <v>72</v>
      </c>
      <c r="V247" s="6">
        <f>IF(ISERROR(VLOOKUP($S$247,'TAR FIN'!$A$1:$O$85,15,0)),0,VLOOKUP($S$247,'TAR FIN'!$A$1:$O$85,15,0))</f>
        <v>0</v>
      </c>
      <c r="W247" s="6">
        <f>IF(ISERROR(VLOOKUP($T$247,'TAR FIN'!$A$1:$O$85,15,0)),0,VLOOKUP($T$247,'TAR FIN'!$A$1:$O$85,15,0))</f>
        <v>1155.83</v>
      </c>
      <c r="X247" s="6">
        <f>IF(ISERROR(VLOOKUP($U$247,'TAR FIN'!$A$1:$O$85,15,0)),0,VLOOKUP($U$247,'TAR FIN'!$A$1:$O$85,15,0))</f>
        <v>119.97</v>
      </c>
      <c r="Y247" s="6"/>
      <c r="Z247" s="6">
        <f ca="1">('TUSD BE'!$AM$46+'TUSD BF'!$AM$46+'TUSD CVA'!$AM$46)*1</f>
        <v>1213.4667429315973</v>
      </c>
      <c r="AA247" s="6">
        <f>('TE BE'!$AB$36+'TE BF'!$AB$36+'TE CVA'!$AB$36)*1</f>
        <v>122.58638016056723</v>
      </c>
      <c r="AB247" s="6">
        <f>$K$247*$V$247</f>
        <v>0</v>
      </c>
      <c r="AC247" s="6">
        <f>$M$247*$W$247</f>
        <v>15.025789999999999</v>
      </c>
      <c r="AD247" s="6">
        <f>$O$247*$X$247</f>
        <v>1.5596099999999999</v>
      </c>
      <c r="AE247" s="6">
        <f>$K$247*$Y$247</f>
        <v>0</v>
      </c>
      <c r="AF247" s="6">
        <f ca="1">$M$247*$Z$247</f>
        <v>15.775067658110764</v>
      </c>
      <c r="AG247" s="6">
        <f>$O$247*$AA$247</f>
        <v>1.593622942087374</v>
      </c>
    </row>
    <row r="248" spans="1:33" ht="11.25" customHeight="1" x14ac:dyDescent="0.3">
      <c r="A248" s="4" t="s">
        <v>52</v>
      </c>
      <c r="B248" s="4" t="s">
        <v>33</v>
      </c>
      <c r="C248" s="4" t="s">
        <v>39</v>
      </c>
      <c r="D248" s="4" t="s">
        <v>34</v>
      </c>
      <c r="E248" s="4" t="s">
        <v>25</v>
      </c>
      <c r="F248" s="4" t="s">
        <v>25</v>
      </c>
      <c r="G248" s="4" t="s">
        <v>25</v>
      </c>
      <c r="H248" s="4" t="s">
        <v>40</v>
      </c>
      <c r="I248" s="5">
        <v>44774</v>
      </c>
      <c r="J248" s="6">
        <v>0</v>
      </c>
      <c r="K248" s="6">
        <v>0</v>
      </c>
      <c r="L248" s="6">
        <v>0.113</v>
      </c>
      <c r="M248" s="6">
        <v>0.113</v>
      </c>
      <c r="N248" s="6">
        <v>0.113</v>
      </c>
      <c r="O248" s="6">
        <v>0.113</v>
      </c>
      <c r="P248" s="6">
        <v>0</v>
      </c>
      <c r="Q248" s="4" t="s">
        <v>26</v>
      </c>
      <c r="R248" s="4">
        <v>0</v>
      </c>
      <c r="S248" s="6">
        <v>0</v>
      </c>
      <c r="T248" s="6">
        <v>50</v>
      </c>
      <c r="U248" s="6">
        <v>72</v>
      </c>
      <c r="V248" s="6">
        <f>IF(ISERROR(VLOOKUP($S$248,'TAR FIN'!$A$1:$O$85,15,0)),0,VLOOKUP($S$248,'TAR FIN'!$A$1:$O$85,15,0))</f>
        <v>0</v>
      </c>
      <c r="W248" s="6">
        <f>IF(ISERROR(VLOOKUP($T$248,'TAR FIN'!$A$1:$O$85,15,0)),0,VLOOKUP($T$248,'TAR FIN'!$A$1:$O$85,15,0))</f>
        <v>1155.83</v>
      </c>
      <c r="X248" s="6">
        <f>IF(ISERROR(VLOOKUP($U$248,'TAR FIN'!$A$1:$O$85,15,0)),0,VLOOKUP($U$248,'TAR FIN'!$A$1:$O$85,15,0))</f>
        <v>119.97</v>
      </c>
      <c r="Y248" s="6"/>
      <c r="Z248" s="6">
        <f ca="1">('TUSD BE'!$AM$46+'TUSD BF'!$AM$46+'TUSD CVA'!$AM$46)*1</f>
        <v>1213.4667429315973</v>
      </c>
      <c r="AA248" s="6">
        <f>('TE BE'!$AB$36+'TE BF'!$AB$36+'TE CVA'!$AB$36)*1</f>
        <v>122.58638016056723</v>
      </c>
      <c r="AB248" s="6">
        <f>$K$248*$V$248</f>
        <v>0</v>
      </c>
      <c r="AC248" s="6">
        <f>$M$248*$W$248</f>
        <v>130.60879</v>
      </c>
      <c r="AD248" s="6">
        <f>$O$248*$X$248</f>
        <v>13.556610000000001</v>
      </c>
      <c r="AE248" s="6">
        <f>$K$248*$Y$248</f>
        <v>0</v>
      </c>
      <c r="AF248" s="6">
        <f ca="1">$M$248*$Z$248</f>
        <v>137.12174195127051</v>
      </c>
      <c r="AG248" s="6">
        <f>$O$248*$AA$248</f>
        <v>13.852260958144097</v>
      </c>
    </row>
    <row r="249" spans="1:33" ht="11.25" customHeight="1" x14ac:dyDescent="0.3">
      <c r="A249" s="4" t="s">
        <v>52</v>
      </c>
      <c r="B249" s="4" t="s">
        <v>33</v>
      </c>
      <c r="C249" s="4" t="s">
        <v>39</v>
      </c>
      <c r="D249" s="4" t="s">
        <v>34</v>
      </c>
      <c r="E249" s="4" t="s">
        <v>25</v>
      </c>
      <c r="F249" s="4" t="s">
        <v>25</v>
      </c>
      <c r="G249" s="4" t="s">
        <v>25</v>
      </c>
      <c r="H249" s="4" t="s">
        <v>40</v>
      </c>
      <c r="I249" s="5">
        <v>44774</v>
      </c>
      <c r="J249" s="6">
        <v>0</v>
      </c>
      <c r="K249" s="6">
        <v>0</v>
      </c>
      <c r="L249" s="6">
        <v>1.2999999999999999E-2</v>
      </c>
      <c r="M249" s="6">
        <v>1.2999999999999999E-2</v>
      </c>
      <c r="N249" s="6">
        <v>1.2999999999999999E-2</v>
      </c>
      <c r="O249" s="6">
        <v>1.2999999999999999E-2</v>
      </c>
      <c r="P249" s="6">
        <v>0</v>
      </c>
      <c r="Q249" s="4" t="s">
        <v>26</v>
      </c>
      <c r="R249" s="4">
        <v>0</v>
      </c>
      <c r="S249" s="6">
        <v>0</v>
      </c>
      <c r="T249" s="6">
        <v>50</v>
      </c>
      <c r="U249" s="6">
        <v>72</v>
      </c>
      <c r="V249" s="6">
        <f>IF(ISERROR(VLOOKUP($S$249,'TAR FIN'!$A$1:$O$85,15,0)),0,VLOOKUP($S$249,'TAR FIN'!$A$1:$O$85,15,0))</f>
        <v>0</v>
      </c>
      <c r="W249" s="6">
        <f>IF(ISERROR(VLOOKUP($T$249,'TAR FIN'!$A$1:$O$85,15,0)),0,VLOOKUP($T$249,'TAR FIN'!$A$1:$O$85,15,0))</f>
        <v>1155.83</v>
      </c>
      <c r="X249" s="6">
        <f>IF(ISERROR(VLOOKUP($U$249,'TAR FIN'!$A$1:$O$85,15,0)),0,VLOOKUP($U$249,'TAR FIN'!$A$1:$O$85,15,0))</f>
        <v>119.97</v>
      </c>
      <c r="Y249" s="6"/>
      <c r="Z249" s="6">
        <f ca="1">('TUSD BE'!$AM$46+'TUSD BF'!$AM$46+'TUSD CVA'!$AM$46)*1</f>
        <v>1213.4667429315973</v>
      </c>
      <c r="AA249" s="6">
        <f>('TE BE'!$AB$36+'TE BF'!$AB$36+'TE CVA'!$AB$36)*1</f>
        <v>122.58638016056723</v>
      </c>
      <c r="AB249" s="6">
        <f>$K$249*$V$249</f>
        <v>0</v>
      </c>
      <c r="AC249" s="6">
        <f>$M$249*$W$249</f>
        <v>15.025789999999999</v>
      </c>
      <c r="AD249" s="6">
        <f>$O$249*$X$249</f>
        <v>1.5596099999999999</v>
      </c>
      <c r="AE249" s="6">
        <f>$K$249*$Y$249</f>
        <v>0</v>
      </c>
      <c r="AF249" s="6">
        <f ca="1">$M$249*$Z$249</f>
        <v>15.775067658110764</v>
      </c>
      <c r="AG249" s="6">
        <f>$O$249*$AA$249</f>
        <v>1.593622942087374</v>
      </c>
    </row>
    <row r="250" spans="1:33" ht="11.25" customHeight="1" x14ac:dyDescent="0.3">
      <c r="A250" s="4" t="s">
        <v>21</v>
      </c>
      <c r="B250" s="4" t="s">
        <v>33</v>
      </c>
      <c r="C250" s="4" t="s">
        <v>39</v>
      </c>
      <c r="D250" s="4" t="s">
        <v>34</v>
      </c>
      <c r="E250" s="4" t="s">
        <v>25</v>
      </c>
      <c r="F250" s="4" t="s">
        <v>25</v>
      </c>
      <c r="G250" s="4" t="s">
        <v>25</v>
      </c>
      <c r="H250" s="4" t="s">
        <v>37</v>
      </c>
      <c r="I250" s="5">
        <v>44440</v>
      </c>
      <c r="J250" s="6">
        <v>0</v>
      </c>
      <c r="K250" s="6">
        <v>0</v>
      </c>
      <c r="L250" s="6">
        <v>0.13400000000000001</v>
      </c>
      <c r="M250" s="6">
        <v>0.13400000000000001</v>
      </c>
      <c r="N250" s="6">
        <v>0.13400000000000001</v>
      </c>
      <c r="O250" s="6">
        <v>0.13400000000000001</v>
      </c>
      <c r="P250" s="6">
        <v>0</v>
      </c>
      <c r="Q250" s="4" t="s">
        <v>26</v>
      </c>
      <c r="R250" s="4">
        <v>0</v>
      </c>
      <c r="S250" s="6">
        <v>0</v>
      </c>
      <c r="T250" s="6">
        <v>37</v>
      </c>
      <c r="U250" s="6">
        <v>74</v>
      </c>
      <c r="V250" s="6">
        <f>IF(ISERROR(VLOOKUP($S$250,'TAR FIN'!$A$1:$O$85,15,0)),0,VLOOKUP($S$250,'TAR FIN'!$A$1:$O$85,15,0))</f>
        <v>0</v>
      </c>
      <c r="W250" s="6">
        <f>IF(ISERROR(VLOOKUP($T$250,'TAR FIN'!$A$1:$O$85,15,0)),0,VLOOKUP($T$250,'TAR FIN'!$A$1:$O$85,15,0))</f>
        <v>1870.98</v>
      </c>
      <c r="X250" s="6">
        <f>IF(ISERROR(VLOOKUP($U$250,'TAR FIN'!$A$1:$O$85,15,0)),0,VLOOKUP($U$250,'TAR FIN'!$A$1:$O$85,15,0))</f>
        <v>119.97</v>
      </c>
      <c r="Y250" s="6"/>
      <c r="Z250" s="6">
        <f ca="1">('TUSD BE'!$AM$45+'TUSD BF'!$AM$45+'TUSD CVA'!$AM$45)*1</f>
        <v>1937.7552131329919</v>
      </c>
      <c r="AA250" s="6">
        <f>('TE BE'!$AB$35+'TE BF'!$AB$35+'TE CVA'!$AB$35)*1</f>
        <v>122.58638016056723</v>
      </c>
      <c r="AB250" s="6">
        <f>$K$250*$V$250</f>
        <v>0</v>
      </c>
      <c r="AC250" s="6">
        <f>$M$250*$W$250</f>
        <v>250.71132000000003</v>
      </c>
      <c r="AD250" s="6">
        <f>$O$250*$X$250</f>
        <v>16.075980000000001</v>
      </c>
      <c r="AE250" s="6">
        <f>$K$250*$Y$250</f>
        <v>0</v>
      </c>
      <c r="AF250" s="6">
        <f ca="1">$M$250*$Z$250</f>
        <v>259.65919855982094</v>
      </c>
      <c r="AG250" s="6">
        <f>$O$250*$AA$250</f>
        <v>16.426574941516009</v>
      </c>
    </row>
    <row r="251" spans="1:33" ht="11.25" customHeight="1" x14ac:dyDescent="0.3">
      <c r="A251" s="4" t="s">
        <v>21</v>
      </c>
      <c r="B251" s="4" t="s">
        <v>33</v>
      </c>
      <c r="C251" s="4" t="s">
        <v>39</v>
      </c>
      <c r="D251" s="4" t="s">
        <v>34</v>
      </c>
      <c r="E251" s="4" t="s">
        <v>25</v>
      </c>
      <c r="F251" s="4" t="s">
        <v>25</v>
      </c>
      <c r="G251" s="4" t="s">
        <v>25</v>
      </c>
      <c r="H251" s="4" t="s">
        <v>37</v>
      </c>
      <c r="I251" s="5">
        <v>44470</v>
      </c>
      <c r="J251" s="6">
        <v>0</v>
      </c>
      <c r="K251" s="6">
        <v>0</v>
      </c>
      <c r="L251" s="6">
        <v>5.1999999999999998E-2</v>
      </c>
      <c r="M251" s="6">
        <v>5.1999999999999998E-2</v>
      </c>
      <c r="N251" s="6">
        <v>5.1999999999999998E-2</v>
      </c>
      <c r="O251" s="6">
        <v>5.1999999999999998E-2</v>
      </c>
      <c r="P251" s="6">
        <v>0</v>
      </c>
      <c r="Q251" s="4" t="s">
        <v>26</v>
      </c>
      <c r="R251" s="4">
        <v>0</v>
      </c>
      <c r="S251" s="6">
        <v>0</v>
      </c>
      <c r="T251" s="6">
        <v>37</v>
      </c>
      <c r="U251" s="6">
        <v>74</v>
      </c>
      <c r="V251" s="6">
        <f>IF(ISERROR(VLOOKUP($S$251,'TAR FIN'!$A$1:$O$85,15,0)),0,VLOOKUP($S$251,'TAR FIN'!$A$1:$O$85,15,0))</f>
        <v>0</v>
      </c>
      <c r="W251" s="6">
        <f>IF(ISERROR(VLOOKUP($T$251,'TAR FIN'!$A$1:$O$85,15,0)),0,VLOOKUP($T$251,'TAR FIN'!$A$1:$O$85,15,0))</f>
        <v>1870.98</v>
      </c>
      <c r="X251" s="6">
        <f>IF(ISERROR(VLOOKUP($U$251,'TAR FIN'!$A$1:$O$85,15,0)),0,VLOOKUP($U$251,'TAR FIN'!$A$1:$O$85,15,0))</f>
        <v>119.97</v>
      </c>
      <c r="Y251" s="6"/>
      <c r="Z251" s="6">
        <f ca="1">('TUSD BE'!$AM$45+'TUSD BF'!$AM$45+'TUSD CVA'!$AM$45)*1</f>
        <v>1937.7552131329919</v>
      </c>
      <c r="AA251" s="6">
        <f>('TE BE'!$AB$35+'TE BF'!$AB$35+'TE CVA'!$AB$35)*1</f>
        <v>122.58638016056723</v>
      </c>
      <c r="AB251" s="6">
        <f>$K$251*$V$251</f>
        <v>0</v>
      </c>
      <c r="AC251" s="6">
        <f>$M$251*$W$251</f>
        <v>97.290959999999998</v>
      </c>
      <c r="AD251" s="6">
        <f>$O$251*$X$251</f>
        <v>6.2384399999999998</v>
      </c>
      <c r="AE251" s="6">
        <f>$K$251*$Y$251</f>
        <v>0</v>
      </c>
      <c r="AF251" s="6">
        <f ca="1">$M$251*$Z$251</f>
        <v>100.76327108291558</v>
      </c>
      <c r="AG251" s="6">
        <f>$O$251*$AA$251</f>
        <v>6.3744917683494959</v>
      </c>
    </row>
    <row r="252" spans="1:33" ht="11.25" customHeight="1" x14ac:dyDescent="0.3">
      <c r="A252" s="4" t="s">
        <v>21</v>
      </c>
      <c r="B252" s="4" t="s">
        <v>33</v>
      </c>
      <c r="C252" s="4" t="s">
        <v>39</v>
      </c>
      <c r="D252" s="4" t="s">
        <v>34</v>
      </c>
      <c r="E252" s="4" t="s">
        <v>25</v>
      </c>
      <c r="F252" s="4" t="s">
        <v>25</v>
      </c>
      <c r="G252" s="4" t="s">
        <v>25</v>
      </c>
      <c r="H252" s="4" t="s">
        <v>37</v>
      </c>
      <c r="I252" s="5">
        <v>44501</v>
      </c>
      <c r="J252" s="6">
        <v>0</v>
      </c>
      <c r="K252" s="6">
        <v>0</v>
      </c>
      <c r="L252" s="6">
        <v>0.14399999999999999</v>
      </c>
      <c r="M252" s="6">
        <v>0.14399999999999999</v>
      </c>
      <c r="N252" s="6">
        <v>0.14399999999999999</v>
      </c>
      <c r="O252" s="6">
        <v>0.14399999999999999</v>
      </c>
      <c r="P252" s="6">
        <v>0</v>
      </c>
      <c r="Q252" s="4" t="s">
        <v>26</v>
      </c>
      <c r="R252" s="4">
        <v>0</v>
      </c>
      <c r="S252" s="6">
        <v>0</v>
      </c>
      <c r="T252" s="6">
        <v>37</v>
      </c>
      <c r="U252" s="6">
        <v>74</v>
      </c>
      <c r="V252" s="6">
        <f>IF(ISERROR(VLOOKUP($S$252,'TAR FIN'!$A$1:$O$85,15,0)),0,VLOOKUP($S$252,'TAR FIN'!$A$1:$O$85,15,0))</f>
        <v>0</v>
      </c>
      <c r="W252" s="6">
        <f>IF(ISERROR(VLOOKUP($T$252,'TAR FIN'!$A$1:$O$85,15,0)),0,VLOOKUP($T$252,'TAR FIN'!$A$1:$O$85,15,0))</f>
        <v>1870.98</v>
      </c>
      <c r="X252" s="6">
        <f>IF(ISERROR(VLOOKUP($U$252,'TAR FIN'!$A$1:$O$85,15,0)),0,VLOOKUP($U$252,'TAR FIN'!$A$1:$O$85,15,0))</f>
        <v>119.97</v>
      </c>
      <c r="Y252" s="6"/>
      <c r="Z252" s="6">
        <f ca="1">('TUSD BE'!$AM$45+'TUSD BF'!$AM$45+'TUSD CVA'!$AM$45)*1</f>
        <v>1937.7552131329919</v>
      </c>
      <c r="AA252" s="6">
        <f>('TE BE'!$AB$35+'TE BF'!$AB$35+'TE CVA'!$AB$35)*1</f>
        <v>122.58638016056723</v>
      </c>
      <c r="AB252" s="6">
        <f>$K$252*$V$252</f>
        <v>0</v>
      </c>
      <c r="AC252" s="6">
        <f>$M$252*$W$252</f>
        <v>269.42111999999997</v>
      </c>
      <c r="AD252" s="6">
        <f>$O$252*$X$252</f>
        <v>17.275679999999998</v>
      </c>
      <c r="AE252" s="6">
        <f>$K$252*$Y$252</f>
        <v>0</v>
      </c>
      <c r="AF252" s="6">
        <f ca="1">$M$252*$Z$252</f>
        <v>279.03675069115081</v>
      </c>
      <c r="AG252" s="6">
        <f>$O$252*$AA$252</f>
        <v>17.652438743121682</v>
      </c>
    </row>
    <row r="253" spans="1:33" ht="11.25" customHeight="1" x14ac:dyDescent="0.3">
      <c r="A253" s="4" t="s">
        <v>21</v>
      </c>
      <c r="B253" s="4" t="s">
        <v>33</v>
      </c>
      <c r="C253" s="4" t="s">
        <v>39</v>
      </c>
      <c r="D253" s="4" t="s">
        <v>34</v>
      </c>
      <c r="E253" s="4" t="s">
        <v>25</v>
      </c>
      <c r="F253" s="4" t="s">
        <v>25</v>
      </c>
      <c r="G253" s="4" t="s">
        <v>25</v>
      </c>
      <c r="H253" s="4" t="s">
        <v>37</v>
      </c>
      <c r="I253" s="5">
        <v>44531</v>
      </c>
      <c r="J253" s="6">
        <v>0</v>
      </c>
      <c r="K253" s="6">
        <v>0</v>
      </c>
      <c r="L253" s="6">
        <v>5.1999999999999998E-2</v>
      </c>
      <c r="M253" s="6">
        <v>5.1999999999999998E-2</v>
      </c>
      <c r="N253" s="6">
        <v>5.1999999999999998E-2</v>
      </c>
      <c r="O253" s="6">
        <v>5.1999999999999998E-2</v>
      </c>
      <c r="P253" s="6">
        <v>0</v>
      </c>
      <c r="Q253" s="4" t="s">
        <v>26</v>
      </c>
      <c r="R253" s="4">
        <v>0</v>
      </c>
      <c r="S253" s="6">
        <v>0</v>
      </c>
      <c r="T253" s="6">
        <v>37</v>
      </c>
      <c r="U253" s="6">
        <v>74</v>
      </c>
      <c r="V253" s="6">
        <f>IF(ISERROR(VLOOKUP($S$253,'TAR FIN'!$A$1:$O$85,15,0)),0,VLOOKUP($S$253,'TAR FIN'!$A$1:$O$85,15,0))</f>
        <v>0</v>
      </c>
      <c r="W253" s="6">
        <f>IF(ISERROR(VLOOKUP($T$253,'TAR FIN'!$A$1:$O$85,15,0)),0,VLOOKUP($T$253,'TAR FIN'!$A$1:$O$85,15,0))</f>
        <v>1870.98</v>
      </c>
      <c r="X253" s="6">
        <f>IF(ISERROR(VLOOKUP($U$253,'TAR FIN'!$A$1:$O$85,15,0)),0,VLOOKUP($U$253,'TAR FIN'!$A$1:$O$85,15,0))</f>
        <v>119.97</v>
      </c>
      <c r="Y253" s="6"/>
      <c r="Z253" s="6">
        <f ca="1">('TUSD BE'!$AM$45+'TUSD BF'!$AM$45+'TUSD CVA'!$AM$45)*1</f>
        <v>1937.7552131329919</v>
      </c>
      <c r="AA253" s="6">
        <f>('TE BE'!$AB$35+'TE BF'!$AB$35+'TE CVA'!$AB$35)*1</f>
        <v>122.58638016056723</v>
      </c>
      <c r="AB253" s="6">
        <f>$K$253*$V$253</f>
        <v>0</v>
      </c>
      <c r="AC253" s="6">
        <f>$M$253*$W$253</f>
        <v>97.290959999999998</v>
      </c>
      <c r="AD253" s="6">
        <f>$O$253*$X$253</f>
        <v>6.2384399999999998</v>
      </c>
      <c r="AE253" s="6">
        <f>$K$253*$Y$253</f>
        <v>0</v>
      </c>
      <c r="AF253" s="6">
        <f ca="1">$M$253*$Z$253</f>
        <v>100.76327108291558</v>
      </c>
      <c r="AG253" s="6">
        <f>$O$253*$AA$253</f>
        <v>6.3744917683494959</v>
      </c>
    </row>
    <row r="254" spans="1:33" ht="11.25" customHeight="1" x14ac:dyDescent="0.3">
      <c r="A254" s="4" t="s">
        <v>21</v>
      </c>
      <c r="B254" s="4" t="s">
        <v>33</v>
      </c>
      <c r="C254" s="4" t="s">
        <v>39</v>
      </c>
      <c r="D254" s="4" t="s">
        <v>34</v>
      </c>
      <c r="E254" s="4" t="s">
        <v>25</v>
      </c>
      <c r="F254" s="4" t="s">
        <v>25</v>
      </c>
      <c r="G254" s="4" t="s">
        <v>25</v>
      </c>
      <c r="H254" s="4" t="s">
        <v>37</v>
      </c>
      <c r="I254" s="5">
        <v>44562</v>
      </c>
      <c r="J254" s="6">
        <v>0</v>
      </c>
      <c r="K254" s="6">
        <v>0</v>
      </c>
      <c r="L254" s="6">
        <v>7.2999999999999995E-2</v>
      </c>
      <c r="M254" s="6">
        <v>7.2999999999999995E-2</v>
      </c>
      <c r="N254" s="6">
        <v>7.2999999999999995E-2</v>
      </c>
      <c r="O254" s="6">
        <v>7.2999999999999995E-2</v>
      </c>
      <c r="P254" s="6">
        <v>0</v>
      </c>
      <c r="Q254" s="4" t="s">
        <v>26</v>
      </c>
      <c r="R254" s="4">
        <v>0</v>
      </c>
      <c r="S254" s="6">
        <v>0</v>
      </c>
      <c r="T254" s="6">
        <v>37</v>
      </c>
      <c r="U254" s="6">
        <v>74</v>
      </c>
      <c r="V254" s="6">
        <f>IF(ISERROR(VLOOKUP($S$254,'TAR FIN'!$A$1:$O$85,15,0)),0,VLOOKUP($S$254,'TAR FIN'!$A$1:$O$85,15,0))</f>
        <v>0</v>
      </c>
      <c r="W254" s="6">
        <f>IF(ISERROR(VLOOKUP($T$254,'TAR FIN'!$A$1:$O$85,15,0)),0,VLOOKUP($T$254,'TAR FIN'!$A$1:$O$85,15,0))</f>
        <v>1870.98</v>
      </c>
      <c r="X254" s="6">
        <f>IF(ISERROR(VLOOKUP($U$254,'TAR FIN'!$A$1:$O$85,15,0)),0,VLOOKUP($U$254,'TAR FIN'!$A$1:$O$85,15,0))</f>
        <v>119.97</v>
      </c>
      <c r="Y254" s="6"/>
      <c r="Z254" s="6">
        <f ca="1">('TUSD BE'!$AM$45+'TUSD BF'!$AM$45+'TUSD CVA'!$AM$45)*1</f>
        <v>1937.7552131329919</v>
      </c>
      <c r="AA254" s="6">
        <f>('TE BE'!$AB$35+'TE BF'!$AB$35+'TE CVA'!$AB$35)*1</f>
        <v>122.58638016056723</v>
      </c>
      <c r="AB254" s="6">
        <f>$K$254*$V$254</f>
        <v>0</v>
      </c>
      <c r="AC254" s="6">
        <f>$M$254*$W$254</f>
        <v>136.58153999999999</v>
      </c>
      <c r="AD254" s="6">
        <f>$O$254*$X$254</f>
        <v>8.7578099999999992</v>
      </c>
      <c r="AE254" s="6">
        <f>$K$254*$Y$254</f>
        <v>0</v>
      </c>
      <c r="AF254" s="6">
        <f ca="1">$M$254*$Z$254</f>
        <v>141.4561305587084</v>
      </c>
      <c r="AG254" s="6">
        <f>$O$254*$AA$254</f>
        <v>8.948805751721407</v>
      </c>
    </row>
    <row r="255" spans="1:33" ht="11.25" customHeight="1" x14ac:dyDescent="0.3">
      <c r="A255" s="4" t="s">
        <v>21</v>
      </c>
      <c r="B255" s="4" t="s">
        <v>33</v>
      </c>
      <c r="C255" s="4" t="s">
        <v>39</v>
      </c>
      <c r="D255" s="4" t="s">
        <v>34</v>
      </c>
      <c r="E255" s="4" t="s">
        <v>25</v>
      </c>
      <c r="F255" s="4" t="s">
        <v>25</v>
      </c>
      <c r="G255" s="4" t="s">
        <v>25</v>
      </c>
      <c r="H255" s="4" t="s">
        <v>37</v>
      </c>
      <c r="I255" s="5">
        <v>44593</v>
      </c>
      <c r="J255" s="6">
        <v>0</v>
      </c>
      <c r="K255" s="6">
        <v>0</v>
      </c>
      <c r="L255" s="6">
        <v>7.1999999999999995E-2</v>
      </c>
      <c r="M255" s="6">
        <v>7.1999999999999995E-2</v>
      </c>
      <c r="N255" s="6">
        <v>7.1999999999999995E-2</v>
      </c>
      <c r="O255" s="6">
        <v>7.1999999999999995E-2</v>
      </c>
      <c r="P255" s="6">
        <v>0</v>
      </c>
      <c r="Q255" s="4" t="s">
        <v>26</v>
      </c>
      <c r="R255" s="4">
        <v>0</v>
      </c>
      <c r="S255" s="6">
        <v>0</v>
      </c>
      <c r="T255" s="6">
        <v>37</v>
      </c>
      <c r="U255" s="6">
        <v>74</v>
      </c>
      <c r="V255" s="6">
        <f>IF(ISERROR(VLOOKUP($S$255,'TAR FIN'!$A$1:$O$85,15,0)),0,VLOOKUP($S$255,'TAR FIN'!$A$1:$O$85,15,0))</f>
        <v>0</v>
      </c>
      <c r="W255" s="6">
        <f>IF(ISERROR(VLOOKUP($T$255,'TAR FIN'!$A$1:$O$85,15,0)),0,VLOOKUP($T$255,'TAR FIN'!$A$1:$O$85,15,0))</f>
        <v>1870.98</v>
      </c>
      <c r="X255" s="6">
        <f>IF(ISERROR(VLOOKUP($U$255,'TAR FIN'!$A$1:$O$85,15,0)),0,VLOOKUP($U$255,'TAR FIN'!$A$1:$O$85,15,0))</f>
        <v>119.97</v>
      </c>
      <c r="Y255" s="6"/>
      <c r="Z255" s="6">
        <f ca="1">('TUSD BE'!$AM$45+'TUSD BF'!$AM$45+'TUSD CVA'!$AM$45)*1</f>
        <v>1937.7552131329919</v>
      </c>
      <c r="AA255" s="6">
        <f>('TE BE'!$AB$35+'TE BF'!$AB$35+'TE CVA'!$AB$35)*1</f>
        <v>122.58638016056723</v>
      </c>
      <c r="AB255" s="6">
        <f>$K$255*$V$255</f>
        <v>0</v>
      </c>
      <c r="AC255" s="6">
        <f>$M$255*$W$255</f>
        <v>134.71055999999999</v>
      </c>
      <c r="AD255" s="6">
        <f>$O$255*$X$255</f>
        <v>8.6378399999999989</v>
      </c>
      <c r="AE255" s="6">
        <f>$K$255*$Y$255</f>
        <v>0</v>
      </c>
      <c r="AF255" s="6">
        <f ca="1">$M$255*$Z$255</f>
        <v>139.51837534557541</v>
      </c>
      <c r="AG255" s="6">
        <f>$O$255*$AA$255</f>
        <v>8.8262193715608408</v>
      </c>
    </row>
    <row r="256" spans="1:33" ht="11.25" customHeight="1" x14ac:dyDescent="0.3">
      <c r="A256" s="4" t="s">
        <v>21</v>
      </c>
      <c r="B256" s="4" t="s">
        <v>33</v>
      </c>
      <c r="C256" s="4" t="s">
        <v>39</v>
      </c>
      <c r="D256" s="4" t="s">
        <v>34</v>
      </c>
      <c r="E256" s="4" t="s">
        <v>25</v>
      </c>
      <c r="F256" s="4" t="s">
        <v>25</v>
      </c>
      <c r="G256" s="4" t="s">
        <v>25</v>
      </c>
      <c r="H256" s="4" t="s">
        <v>37</v>
      </c>
      <c r="I256" s="5">
        <v>44621</v>
      </c>
      <c r="J256" s="6">
        <v>0</v>
      </c>
      <c r="K256" s="6">
        <v>0</v>
      </c>
      <c r="L256" s="6">
        <v>7.2999999999999995E-2</v>
      </c>
      <c r="M256" s="6">
        <v>7.2999999999999995E-2</v>
      </c>
      <c r="N256" s="6">
        <v>7.2999999999999995E-2</v>
      </c>
      <c r="O256" s="6">
        <v>7.2999999999999995E-2</v>
      </c>
      <c r="P256" s="6">
        <v>0</v>
      </c>
      <c r="Q256" s="4" t="s">
        <v>26</v>
      </c>
      <c r="R256" s="4">
        <v>0</v>
      </c>
      <c r="S256" s="6">
        <v>0</v>
      </c>
      <c r="T256" s="6">
        <v>37</v>
      </c>
      <c r="U256" s="6">
        <v>74</v>
      </c>
      <c r="V256" s="6">
        <f>IF(ISERROR(VLOOKUP($S$256,'TAR FIN'!$A$1:$O$85,15,0)),0,VLOOKUP($S$256,'TAR FIN'!$A$1:$O$85,15,0))</f>
        <v>0</v>
      </c>
      <c r="W256" s="6">
        <f>IF(ISERROR(VLOOKUP($T$256,'TAR FIN'!$A$1:$O$85,15,0)),0,VLOOKUP($T$256,'TAR FIN'!$A$1:$O$85,15,0))</f>
        <v>1870.98</v>
      </c>
      <c r="X256" s="6">
        <f>IF(ISERROR(VLOOKUP($U$256,'TAR FIN'!$A$1:$O$85,15,0)),0,VLOOKUP($U$256,'TAR FIN'!$A$1:$O$85,15,0))</f>
        <v>119.97</v>
      </c>
      <c r="Y256" s="6"/>
      <c r="Z256" s="6">
        <f ca="1">('TUSD BE'!$AM$45+'TUSD BF'!$AM$45+'TUSD CVA'!$AM$45)*1</f>
        <v>1937.7552131329919</v>
      </c>
      <c r="AA256" s="6">
        <f>('TE BE'!$AB$35+'TE BF'!$AB$35+'TE CVA'!$AB$35)*1</f>
        <v>122.58638016056723</v>
      </c>
      <c r="AB256" s="6">
        <f>$K$256*$V$256</f>
        <v>0</v>
      </c>
      <c r="AC256" s="6">
        <f>$M$256*$W$256</f>
        <v>136.58153999999999</v>
      </c>
      <c r="AD256" s="6">
        <f>$O$256*$X$256</f>
        <v>8.7578099999999992</v>
      </c>
      <c r="AE256" s="6">
        <f>$K$256*$Y$256</f>
        <v>0</v>
      </c>
      <c r="AF256" s="6">
        <f ca="1">$M$256*$Z$256</f>
        <v>141.4561305587084</v>
      </c>
      <c r="AG256" s="6">
        <f>$O$256*$AA$256</f>
        <v>8.948805751721407</v>
      </c>
    </row>
    <row r="257" spans="1:33" ht="11.25" customHeight="1" x14ac:dyDescent="0.3">
      <c r="A257" s="4" t="s">
        <v>21</v>
      </c>
      <c r="B257" s="4" t="s">
        <v>33</v>
      </c>
      <c r="C257" s="4" t="s">
        <v>39</v>
      </c>
      <c r="D257" s="4" t="s">
        <v>34</v>
      </c>
      <c r="E257" s="4" t="s">
        <v>25</v>
      </c>
      <c r="F257" s="4" t="s">
        <v>25</v>
      </c>
      <c r="G257" s="4" t="s">
        <v>25</v>
      </c>
      <c r="H257" s="4" t="s">
        <v>37</v>
      </c>
      <c r="I257" s="5">
        <v>44652</v>
      </c>
      <c r="J257" s="6">
        <v>0</v>
      </c>
      <c r="K257" s="6">
        <v>0</v>
      </c>
      <c r="L257" s="6">
        <v>0.10299999999999999</v>
      </c>
      <c r="M257" s="6">
        <v>0.10299999999999999</v>
      </c>
      <c r="N257" s="6">
        <v>0.10299999999999999</v>
      </c>
      <c r="O257" s="6">
        <v>0.10299999999999999</v>
      </c>
      <c r="P257" s="6">
        <v>0</v>
      </c>
      <c r="Q257" s="4" t="s">
        <v>26</v>
      </c>
      <c r="R257" s="4">
        <v>0</v>
      </c>
      <c r="S257" s="6">
        <v>0</v>
      </c>
      <c r="T257" s="6">
        <v>37</v>
      </c>
      <c r="U257" s="6">
        <v>74</v>
      </c>
      <c r="V257" s="6">
        <f>IF(ISERROR(VLOOKUP($S$257,'TAR FIN'!$A$1:$O$85,15,0)),0,VLOOKUP($S$257,'TAR FIN'!$A$1:$O$85,15,0))</f>
        <v>0</v>
      </c>
      <c r="W257" s="6">
        <f>IF(ISERROR(VLOOKUP($T$257,'TAR FIN'!$A$1:$O$85,15,0)),0,VLOOKUP($T$257,'TAR FIN'!$A$1:$O$85,15,0))</f>
        <v>1870.98</v>
      </c>
      <c r="X257" s="6">
        <f>IF(ISERROR(VLOOKUP($U$257,'TAR FIN'!$A$1:$O$85,15,0)),0,VLOOKUP($U$257,'TAR FIN'!$A$1:$O$85,15,0))</f>
        <v>119.97</v>
      </c>
      <c r="Y257" s="6"/>
      <c r="Z257" s="6">
        <f ca="1">('TUSD BE'!$AM$45+'TUSD BF'!$AM$45+'TUSD CVA'!$AM$45)*1</f>
        <v>1937.7552131329919</v>
      </c>
      <c r="AA257" s="6">
        <f>('TE BE'!$AB$35+'TE BF'!$AB$35+'TE CVA'!$AB$35)*1</f>
        <v>122.58638016056723</v>
      </c>
      <c r="AB257" s="6">
        <f>$K$257*$V$257</f>
        <v>0</v>
      </c>
      <c r="AC257" s="6">
        <f>$M$257*$W$257</f>
        <v>192.71093999999999</v>
      </c>
      <c r="AD257" s="6">
        <f>$O$257*$X$257</f>
        <v>12.356909999999999</v>
      </c>
      <c r="AE257" s="6">
        <f>$K$257*$Y$257</f>
        <v>0</v>
      </c>
      <c r="AF257" s="6">
        <f ca="1">$M$257*$Z$257</f>
        <v>199.58878695269814</v>
      </c>
      <c r="AG257" s="6">
        <f>$O$257*$AA$257</f>
        <v>12.626397156538424</v>
      </c>
    </row>
    <row r="258" spans="1:33" ht="11.25" customHeight="1" x14ac:dyDescent="0.3">
      <c r="A258" s="4" t="s">
        <v>21</v>
      </c>
      <c r="B258" s="4" t="s">
        <v>33</v>
      </c>
      <c r="C258" s="4" t="s">
        <v>39</v>
      </c>
      <c r="D258" s="4" t="s">
        <v>34</v>
      </c>
      <c r="E258" s="4" t="s">
        <v>25</v>
      </c>
      <c r="F258" s="4" t="s">
        <v>25</v>
      </c>
      <c r="G258" s="4" t="s">
        <v>25</v>
      </c>
      <c r="H258" s="4" t="s">
        <v>37</v>
      </c>
      <c r="I258" s="5">
        <v>44682</v>
      </c>
      <c r="J258" s="6">
        <v>0</v>
      </c>
      <c r="K258" s="6">
        <v>0</v>
      </c>
      <c r="L258" s="6">
        <v>3.2000000000000001E-2</v>
      </c>
      <c r="M258" s="6">
        <v>3.2000000000000001E-2</v>
      </c>
      <c r="N258" s="6">
        <v>3.2000000000000001E-2</v>
      </c>
      <c r="O258" s="6">
        <v>3.2000000000000001E-2</v>
      </c>
      <c r="P258" s="6">
        <v>0</v>
      </c>
      <c r="Q258" s="4" t="s">
        <v>26</v>
      </c>
      <c r="R258" s="4">
        <v>0</v>
      </c>
      <c r="S258" s="6">
        <v>0</v>
      </c>
      <c r="T258" s="6">
        <v>37</v>
      </c>
      <c r="U258" s="6">
        <v>74</v>
      </c>
      <c r="V258" s="6">
        <f>IF(ISERROR(VLOOKUP($S$258,'TAR FIN'!$A$1:$O$85,15,0)),0,VLOOKUP($S$258,'TAR FIN'!$A$1:$O$85,15,0))</f>
        <v>0</v>
      </c>
      <c r="W258" s="6">
        <f>IF(ISERROR(VLOOKUP($T$258,'TAR FIN'!$A$1:$O$85,15,0)),0,VLOOKUP($T$258,'TAR FIN'!$A$1:$O$85,15,0))</f>
        <v>1870.98</v>
      </c>
      <c r="X258" s="6">
        <f>IF(ISERROR(VLOOKUP($U$258,'TAR FIN'!$A$1:$O$85,15,0)),0,VLOOKUP($U$258,'TAR FIN'!$A$1:$O$85,15,0))</f>
        <v>119.97</v>
      </c>
      <c r="Y258" s="6"/>
      <c r="Z258" s="6">
        <f ca="1">('TUSD BE'!$AM$45+'TUSD BF'!$AM$45+'TUSD CVA'!$AM$45)*1</f>
        <v>1937.7552131329919</v>
      </c>
      <c r="AA258" s="6">
        <f>('TE BE'!$AB$35+'TE BF'!$AB$35+'TE CVA'!$AB$35)*1</f>
        <v>122.58638016056723</v>
      </c>
      <c r="AB258" s="6">
        <f>$K$258*$V$258</f>
        <v>0</v>
      </c>
      <c r="AC258" s="6">
        <f>$M$258*$W$258</f>
        <v>59.871360000000003</v>
      </c>
      <c r="AD258" s="6">
        <f>$O$258*$X$258</f>
        <v>3.8390400000000002</v>
      </c>
      <c r="AE258" s="6">
        <f>$K$258*$Y$258</f>
        <v>0</v>
      </c>
      <c r="AF258" s="6">
        <f ca="1">$M$258*$Z$258</f>
        <v>62.008166820255745</v>
      </c>
      <c r="AG258" s="6">
        <f>$O$258*$AA$258</f>
        <v>3.9227641651381515</v>
      </c>
    </row>
    <row r="259" spans="1:33" ht="11.25" customHeight="1" x14ac:dyDescent="0.3">
      <c r="A259" s="4" t="s">
        <v>21</v>
      </c>
      <c r="B259" s="4" t="s">
        <v>33</v>
      </c>
      <c r="C259" s="4" t="s">
        <v>39</v>
      </c>
      <c r="D259" s="4" t="s">
        <v>34</v>
      </c>
      <c r="E259" s="4" t="s">
        <v>25</v>
      </c>
      <c r="F259" s="4" t="s">
        <v>25</v>
      </c>
      <c r="G259" s="4" t="s">
        <v>25</v>
      </c>
      <c r="H259" s="4" t="s">
        <v>37</v>
      </c>
      <c r="I259" s="5">
        <v>44713</v>
      </c>
      <c r="J259" s="6">
        <v>0</v>
      </c>
      <c r="K259" s="6">
        <v>0</v>
      </c>
      <c r="L259" s="6">
        <v>9.1999999999999998E-2</v>
      </c>
      <c r="M259" s="6">
        <v>9.1999999999999998E-2</v>
      </c>
      <c r="N259" s="6">
        <v>9.1999999999999998E-2</v>
      </c>
      <c r="O259" s="6">
        <v>9.1999999999999998E-2</v>
      </c>
      <c r="P259" s="6">
        <v>0</v>
      </c>
      <c r="Q259" s="4" t="s">
        <v>26</v>
      </c>
      <c r="R259" s="4">
        <v>0</v>
      </c>
      <c r="S259" s="6">
        <v>0</v>
      </c>
      <c r="T259" s="6">
        <v>37</v>
      </c>
      <c r="U259" s="6">
        <v>74</v>
      </c>
      <c r="V259" s="6">
        <f>IF(ISERROR(VLOOKUP($S$259,'TAR FIN'!$A$1:$O$85,15,0)),0,VLOOKUP($S$259,'TAR FIN'!$A$1:$O$85,15,0))</f>
        <v>0</v>
      </c>
      <c r="W259" s="6">
        <f>IF(ISERROR(VLOOKUP($T$259,'TAR FIN'!$A$1:$O$85,15,0)),0,VLOOKUP($T$259,'TAR FIN'!$A$1:$O$85,15,0))</f>
        <v>1870.98</v>
      </c>
      <c r="X259" s="6">
        <f>IF(ISERROR(VLOOKUP($U$259,'TAR FIN'!$A$1:$O$85,15,0)),0,VLOOKUP($U$259,'TAR FIN'!$A$1:$O$85,15,0))</f>
        <v>119.97</v>
      </c>
      <c r="Y259" s="6"/>
      <c r="Z259" s="6">
        <f ca="1">('TUSD BE'!$AM$45+'TUSD BF'!$AM$45+'TUSD CVA'!$AM$45)*1</f>
        <v>1937.7552131329919</v>
      </c>
      <c r="AA259" s="6">
        <f>('TE BE'!$AB$35+'TE BF'!$AB$35+'TE CVA'!$AB$35)*1</f>
        <v>122.58638016056723</v>
      </c>
      <c r="AB259" s="6">
        <f>$K$259*$V$259</f>
        <v>0</v>
      </c>
      <c r="AC259" s="6">
        <f>$M$259*$W$259</f>
        <v>172.13015999999999</v>
      </c>
      <c r="AD259" s="6">
        <f>$O$259*$X$259</f>
        <v>11.037239999999999</v>
      </c>
      <c r="AE259" s="6">
        <f>$K$259*$Y$259</f>
        <v>0</v>
      </c>
      <c r="AF259" s="6">
        <f ca="1">$M$259*$Z$259</f>
        <v>178.27347960823525</v>
      </c>
      <c r="AG259" s="6">
        <f>$O$259*$AA$259</f>
        <v>11.277946974772185</v>
      </c>
    </row>
    <row r="260" spans="1:33" ht="11.25" customHeight="1" x14ac:dyDescent="0.3">
      <c r="A260" s="4" t="s">
        <v>21</v>
      </c>
      <c r="B260" s="4" t="s">
        <v>33</v>
      </c>
      <c r="C260" s="4" t="s">
        <v>39</v>
      </c>
      <c r="D260" s="4" t="s">
        <v>34</v>
      </c>
      <c r="E260" s="4" t="s">
        <v>25</v>
      </c>
      <c r="F260" s="4" t="s">
        <v>25</v>
      </c>
      <c r="G260" s="4" t="s">
        <v>25</v>
      </c>
      <c r="H260" s="4" t="s">
        <v>37</v>
      </c>
      <c r="I260" s="5">
        <v>44743</v>
      </c>
      <c r="J260" s="6">
        <v>0</v>
      </c>
      <c r="K260" s="6">
        <v>0</v>
      </c>
      <c r="L260" s="6">
        <v>9.2999999999999999E-2</v>
      </c>
      <c r="M260" s="6">
        <v>9.2999999999999999E-2</v>
      </c>
      <c r="N260" s="6">
        <v>9.2999999999999999E-2</v>
      </c>
      <c r="O260" s="6">
        <v>9.2999999999999999E-2</v>
      </c>
      <c r="P260" s="6">
        <v>0</v>
      </c>
      <c r="Q260" s="4" t="s">
        <v>26</v>
      </c>
      <c r="R260" s="4">
        <v>0</v>
      </c>
      <c r="S260" s="6">
        <v>0</v>
      </c>
      <c r="T260" s="6">
        <v>37</v>
      </c>
      <c r="U260" s="6">
        <v>74</v>
      </c>
      <c r="V260" s="6">
        <f>IF(ISERROR(VLOOKUP($S$260,'TAR FIN'!$A$1:$O$85,15,0)),0,VLOOKUP($S$260,'TAR FIN'!$A$1:$O$85,15,0))</f>
        <v>0</v>
      </c>
      <c r="W260" s="6">
        <f>IF(ISERROR(VLOOKUP($T$260,'TAR FIN'!$A$1:$O$85,15,0)),0,VLOOKUP($T$260,'TAR FIN'!$A$1:$O$85,15,0))</f>
        <v>1870.98</v>
      </c>
      <c r="X260" s="6">
        <f>IF(ISERROR(VLOOKUP($U$260,'TAR FIN'!$A$1:$O$85,15,0)),0,VLOOKUP($U$260,'TAR FIN'!$A$1:$O$85,15,0))</f>
        <v>119.97</v>
      </c>
      <c r="Y260" s="6"/>
      <c r="Z260" s="6">
        <f ca="1">('TUSD BE'!$AM$45+'TUSD BF'!$AM$45+'TUSD CVA'!$AM$45)*1</f>
        <v>1937.7552131329919</v>
      </c>
      <c r="AA260" s="6">
        <f>('TE BE'!$AB$35+'TE BF'!$AB$35+'TE CVA'!$AB$35)*1</f>
        <v>122.58638016056723</v>
      </c>
      <c r="AB260" s="6">
        <f>$K$260*$V$260</f>
        <v>0</v>
      </c>
      <c r="AC260" s="6">
        <f>$M$260*$W$260</f>
        <v>174.00113999999999</v>
      </c>
      <c r="AD260" s="6">
        <f>$O$260*$X$260</f>
        <v>11.157209999999999</v>
      </c>
      <c r="AE260" s="6">
        <f>$K$260*$Y$260</f>
        <v>0</v>
      </c>
      <c r="AF260" s="6">
        <f ca="1">$M$260*$Z$260</f>
        <v>180.21123482136824</v>
      </c>
      <c r="AG260" s="6">
        <f>$O$260*$AA$260</f>
        <v>11.400533354932753</v>
      </c>
    </row>
    <row r="261" spans="1:33" ht="11.25" customHeight="1" x14ac:dyDescent="0.3">
      <c r="A261" s="4" t="s">
        <v>28</v>
      </c>
      <c r="B261" s="4" t="s">
        <v>33</v>
      </c>
      <c r="C261" s="4" t="s">
        <v>39</v>
      </c>
      <c r="D261" s="4" t="s">
        <v>34</v>
      </c>
      <c r="E261" s="4" t="s">
        <v>25</v>
      </c>
      <c r="F261" s="4" t="s">
        <v>25</v>
      </c>
      <c r="G261" s="4" t="s">
        <v>25</v>
      </c>
      <c r="H261" s="4" t="s">
        <v>37</v>
      </c>
      <c r="I261" s="5">
        <v>44743</v>
      </c>
      <c r="J261" s="6">
        <v>0</v>
      </c>
      <c r="K261" s="6">
        <v>0</v>
      </c>
      <c r="L261" s="6">
        <v>0.02</v>
      </c>
      <c r="M261" s="6">
        <v>0.02</v>
      </c>
      <c r="N261" s="6">
        <v>0.02</v>
      </c>
      <c r="O261" s="6">
        <v>0.02</v>
      </c>
      <c r="P261" s="6">
        <v>0</v>
      </c>
      <c r="Q261" s="4" t="s">
        <v>26</v>
      </c>
      <c r="R261" s="4">
        <v>0</v>
      </c>
      <c r="S261" s="6">
        <v>0</v>
      </c>
      <c r="T261" s="6">
        <v>37</v>
      </c>
      <c r="U261" s="6">
        <v>74</v>
      </c>
      <c r="V261" s="6">
        <f>IF(ISERROR(VLOOKUP($S$261,'TAR FIN'!$A$1:$O$85,15,0)),0,VLOOKUP($S$261,'TAR FIN'!$A$1:$O$85,15,0))</f>
        <v>0</v>
      </c>
      <c r="W261" s="6">
        <f>IF(ISERROR(VLOOKUP($T$261,'TAR FIN'!$A$1:$O$85,15,0)),0,VLOOKUP($T$261,'TAR FIN'!$A$1:$O$85,15,0))</f>
        <v>1870.98</v>
      </c>
      <c r="X261" s="6">
        <f>IF(ISERROR(VLOOKUP($U$261,'TAR FIN'!$A$1:$O$85,15,0)),0,VLOOKUP($U$261,'TAR FIN'!$A$1:$O$85,15,0))</f>
        <v>119.97</v>
      </c>
      <c r="Y261" s="6"/>
      <c r="Z261" s="6">
        <f ca="1">('TUSD BE'!$AM$45+'TUSD BF'!$AM$45+'TUSD CVA'!$AM$45)*1</f>
        <v>1937.7552131329919</v>
      </c>
      <c r="AA261" s="6">
        <f>('TE BE'!$AB$35+'TE BF'!$AB$35+'TE CVA'!$AB$35)*1</f>
        <v>122.58638016056723</v>
      </c>
      <c r="AB261" s="6">
        <f>$K$261*$V$261</f>
        <v>0</v>
      </c>
      <c r="AC261" s="6">
        <f>$M$261*$W$261</f>
        <v>37.419600000000003</v>
      </c>
      <c r="AD261" s="6">
        <f>$O$261*$X$261</f>
        <v>2.3994</v>
      </c>
      <c r="AE261" s="6">
        <f>$K$261*$Y$261</f>
        <v>0</v>
      </c>
      <c r="AF261" s="6">
        <f ca="1">$M$261*$Z$261</f>
        <v>38.755104262659842</v>
      </c>
      <c r="AG261" s="6">
        <f>$O$261*$AA$261</f>
        <v>2.4517276032113449</v>
      </c>
    </row>
    <row r="262" spans="1:33" ht="11.25" customHeight="1" x14ac:dyDescent="0.3">
      <c r="A262" s="4" t="s">
        <v>52</v>
      </c>
      <c r="B262" s="4" t="s">
        <v>33</v>
      </c>
      <c r="C262" s="4" t="s">
        <v>39</v>
      </c>
      <c r="D262" s="4" t="s">
        <v>34</v>
      </c>
      <c r="E262" s="4" t="s">
        <v>25</v>
      </c>
      <c r="F262" s="4" t="s">
        <v>25</v>
      </c>
      <c r="G262" s="4" t="s">
        <v>25</v>
      </c>
      <c r="H262" s="4" t="s">
        <v>37</v>
      </c>
      <c r="I262" s="5">
        <v>44774</v>
      </c>
      <c r="J262" s="6">
        <v>0</v>
      </c>
      <c r="K262" s="6">
        <v>0</v>
      </c>
      <c r="L262" s="6">
        <v>9.2999999999999999E-2</v>
      </c>
      <c r="M262" s="6">
        <v>9.2999999999999999E-2</v>
      </c>
      <c r="N262" s="6">
        <v>9.2999999999999999E-2</v>
      </c>
      <c r="O262" s="6">
        <v>9.2999999999999999E-2</v>
      </c>
      <c r="P262" s="6">
        <v>0</v>
      </c>
      <c r="Q262" s="4" t="s">
        <v>26</v>
      </c>
      <c r="R262" s="4">
        <v>0</v>
      </c>
      <c r="S262" s="6">
        <v>0</v>
      </c>
      <c r="T262" s="6">
        <v>37</v>
      </c>
      <c r="U262" s="6">
        <v>74</v>
      </c>
      <c r="V262" s="6">
        <f>IF(ISERROR(VLOOKUP($S$262,'TAR FIN'!$A$1:$O$85,15,0)),0,VLOOKUP($S$262,'TAR FIN'!$A$1:$O$85,15,0))</f>
        <v>0</v>
      </c>
      <c r="W262" s="6">
        <f>IF(ISERROR(VLOOKUP($T$262,'TAR FIN'!$A$1:$O$85,15,0)),0,VLOOKUP($T$262,'TAR FIN'!$A$1:$O$85,15,0))</f>
        <v>1870.98</v>
      </c>
      <c r="X262" s="6">
        <f>IF(ISERROR(VLOOKUP($U$262,'TAR FIN'!$A$1:$O$85,15,0)),0,VLOOKUP($U$262,'TAR FIN'!$A$1:$O$85,15,0))</f>
        <v>119.97</v>
      </c>
      <c r="Y262" s="6"/>
      <c r="Z262" s="6">
        <f ca="1">('TUSD BE'!$AM$45+'TUSD BF'!$AM$45+'TUSD CVA'!$AM$45)*1</f>
        <v>1937.7552131329919</v>
      </c>
      <c r="AA262" s="6">
        <f>('TE BE'!$AB$35+'TE BF'!$AB$35+'TE CVA'!$AB$35)*1</f>
        <v>122.58638016056723</v>
      </c>
      <c r="AB262" s="6">
        <f>$K$262*$V$262</f>
        <v>0</v>
      </c>
      <c r="AC262" s="6">
        <f>$M$262*$W$262</f>
        <v>174.00113999999999</v>
      </c>
      <c r="AD262" s="6">
        <f>$O$262*$X$262</f>
        <v>11.157209999999999</v>
      </c>
      <c r="AE262" s="6">
        <f>$K$262*$Y$262</f>
        <v>0</v>
      </c>
      <c r="AF262" s="6">
        <f ca="1">$M$262*$Z$262</f>
        <v>180.21123482136824</v>
      </c>
      <c r="AG262" s="6">
        <f>$O$262*$AA$262</f>
        <v>11.400533354932753</v>
      </c>
    </row>
    <row r="263" spans="1:33" ht="11.25" customHeight="1" x14ac:dyDescent="0.3">
      <c r="A263" s="4" t="s">
        <v>52</v>
      </c>
      <c r="B263" s="4" t="s">
        <v>33</v>
      </c>
      <c r="C263" s="4" t="s">
        <v>39</v>
      </c>
      <c r="D263" s="4" t="s">
        <v>34</v>
      </c>
      <c r="E263" s="4" t="s">
        <v>25</v>
      </c>
      <c r="F263" s="4" t="s">
        <v>25</v>
      </c>
      <c r="G263" s="4" t="s">
        <v>25</v>
      </c>
      <c r="H263" s="4" t="s">
        <v>37</v>
      </c>
      <c r="I263" s="5">
        <v>44774</v>
      </c>
      <c r="J263" s="6">
        <v>0</v>
      </c>
      <c r="K263" s="6">
        <v>0</v>
      </c>
      <c r="L263" s="6">
        <v>0.02</v>
      </c>
      <c r="M263" s="6">
        <v>0.02</v>
      </c>
      <c r="N263" s="6">
        <v>0.02</v>
      </c>
      <c r="O263" s="6">
        <v>0.02</v>
      </c>
      <c r="P263" s="6">
        <v>0</v>
      </c>
      <c r="Q263" s="4" t="s">
        <v>26</v>
      </c>
      <c r="R263" s="4">
        <v>0</v>
      </c>
      <c r="S263" s="6">
        <v>0</v>
      </c>
      <c r="T263" s="6">
        <v>37</v>
      </c>
      <c r="U263" s="6">
        <v>74</v>
      </c>
      <c r="V263" s="6">
        <f>IF(ISERROR(VLOOKUP($S$263,'TAR FIN'!$A$1:$O$85,15,0)),0,VLOOKUP($S$263,'TAR FIN'!$A$1:$O$85,15,0))</f>
        <v>0</v>
      </c>
      <c r="W263" s="6">
        <f>IF(ISERROR(VLOOKUP($T$263,'TAR FIN'!$A$1:$O$85,15,0)),0,VLOOKUP($T$263,'TAR FIN'!$A$1:$O$85,15,0))</f>
        <v>1870.98</v>
      </c>
      <c r="X263" s="6">
        <f>IF(ISERROR(VLOOKUP($U$263,'TAR FIN'!$A$1:$O$85,15,0)),0,VLOOKUP($U$263,'TAR FIN'!$A$1:$O$85,15,0))</f>
        <v>119.97</v>
      </c>
      <c r="Y263" s="6"/>
      <c r="Z263" s="6">
        <f ca="1">('TUSD BE'!$AM$45+'TUSD BF'!$AM$45+'TUSD CVA'!$AM$45)*1</f>
        <v>1937.7552131329919</v>
      </c>
      <c r="AA263" s="6">
        <f>('TE BE'!$AB$35+'TE BF'!$AB$35+'TE CVA'!$AB$35)*1</f>
        <v>122.58638016056723</v>
      </c>
      <c r="AB263" s="6">
        <f>$K$263*$V$263</f>
        <v>0</v>
      </c>
      <c r="AC263" s="6">
        <f>$M$263*$W$263</f>
        <v>37.419600000000003</v>
      </c>
      <c r="AD263" s="6">
        <f>$O$263*$X$263</f>
        <v>2.3994</v>
      </c>
      <c r="AE263" s="6">
        <f>$K$263*$Y$263</f>
        <v>0</v>
      </c>
      <c r="AF263" s="6">
        <f ca="1">$M$263*$Z$263</f>
        <v>38.755104262659842</v>
      </c>
      <c r="AG263" s="6">
        <f>$O$263*$AA$263</f>
        <v>2.4517276032113449</v>
      </c>
    </row>
    <row r="264" spans="1:33" ht="11.25" customHeight="1" x14ac:dyDescent="0.3">
      <c r="A264" s="4" t="s">
        <v>21</v>
      </c>
      <c r="B264" s="4" t="s">
        <v>33</v>
      </c>
      <c r="C264" s="4" t="s">
        <v>23</v>
      </c>
      <c r="D264" s="4" t="s">
        <v>41</v>
      </c>
      <c r="E264" s="4" t="s">
        <v>25</v>
      </c>
      <c r="F264" s="4" t="s">
        <v>25</v>
      </c>
      <c r="G264" s="4" t="s">
        <v>25</v>
      </c>
      <c r="H264" s="4" t="s">
        <v>25</v>
      </c>
      <c r="I264" s="5">
        <v>44440</v>
      </c>
      <c r="J264" s="6">
        <v>0</v>
      </c>
      <c r="K264" s="6">
        <v>0</v>
      </c>
      <c r="L264" s="6">
        <v>86.62</v>
      </c>
      <c r="M264" s="6">
        <v>86.62</v>
      </c>
      <c r="N264" s="6">
        <v>86.62</v>
      </c>
      <c r="O264" s="6">
        <v>86.62</v>
      </c>
      <c r="P264" s="6">
        <v>277</v>
      </c>
      <c r="Q264" s="4" t="s">
        <v>26</v>
      </c>
      <c r="R264" s="4">
        <v>0</v>
      </c>
      <c r="S264" s="6">
        <v>0</v>
      </c>
      <c r="T264" s="6">
        <v>28</v>
      </c>
      <c r="U264" s="6">
        <v>76</v>
      </c>
      <c r="V264" s="6">
        <f>IF(ISERROR(VLOOKUP($S$264,'TAR FIN'!$A$1:$O$85,15,0)),0,VLOOKUP($S$264,'TAR FIN'!$A$1:$O$85,15,0))</f>
        <v>0</v>
      </c>
      <c r="W264" s="6">
        <f>IF(ISERROR(VLOOKUP($T$264,'TAR FIN'!$A$1:$O$85,15,0)),0,VLOOKUP($T$264,'TAR FIN'!$A$1:$O$85,15,0))</f>
        <v>609.05999999999995</v>
      </c>
      <c r="X264" s="6">
        <f>IF(ISERROR(VLOOKUP($U$264,'TAR FIN'!$A$1:$O$85,15,0)),0,VLOOKUP($U$264,'TAR FIN'!$A$1:$O$85,15,0))</f>
        <v>119.97</v>
      </c>
      <c r="Y264" s="6"/>
      <c r="Z264" s="6">
        <f ca="1">('TUSD BE'!$AM$48+'TUSD BF'!$AM$48+'TUSD CVA'!$AM$48)*1</f>
        <v>659.71654674120782</v>
      </c>
      <c r="AA264" s="6">
        <f>('TE BE'!$AB$38+'TE BF'!$AB$38+'TE CVA'!$AB$38)*1</f>
        <v>122.58638016056723</v>
      </c>
      <c r="AB264" s="6">
        <f>$K$264*$V$264</f>
        <v>0</v>
      </c>
      <c r="AC264" s="6">
        <f>$M$264*$W$264</f>
        <v>52756.777199999997</v>
      </c>
      <c r="AD264" s="6">
        <f>$O$264*$X$264</f>
        <v>10391.8014</v>
      </c>
      <c r="AE264" s="6">
        <f>$K$264*$Y$264</f>
        <v>0</v>
      </c>
      <c r="AF264" s="6">
        <f ca="1">$M$264*$Z$264</f>
        <v>57144.647278723423</v>
      </c>
      <c r="AG264" s="6">
        <f>$O$264*$AA$264</f>
        <v>10618.432249508334</v>
      </c>
    </row>
    <row r="265" spans="1:33" ht="11.25" customHeight="1" x14ac:dyDescent="0.3">
      <c r="A265" s="4" t="s">
        <v>28</v>
      </c>
      <c r="B265" s="4" t="s">
        <v>33</v>
      </c>
      <c r="C265" s="4" t="s">
        <v>23</v>
      </c>
      <c r="D265" s="4" t="s">
        <v>41</v>
      </c>
      <c r="E265" s="4" t="s">
        <v>25</v>
      </c>
      <c r="F265" s="4" t="s">
        <v>25</v>
      </c>
      <c r="G265" s="4" t="s">
        <v>25</v>
      </c>
      <c r="H265" s="4" t="s">
        <v>25</v>
      </c>
      <c r="I265" s="5">
        <v>44440</v>
      </c>
      <c r="J265" s="6">
        <v>0</v>
      </c>
      <c r="K265" s="6">
        <v>0</v>
      </c>
      <c r="L265" s="6">
        <v>0.5</v>
      </c>
      <c r="M265" s="6">
        <v>0.5</v>
      </c>
      <c r="N265" s="6">
        <v>0.5</v>
      </c>
      <c r="O265" s="6">
        <v>0.5</v>
      </c>
      <c r="P265" s="6">
        <v>5</v>
      </c>
      <c r="Q265" s="4" t="s">
        <v>26</v>
      </c>
      <c r="R265" s="4">
        <v>0</v>
      </c>
      <c r="S265" s="6">
        <v>0</v>
      </c>
      <c r="T265" s="6">
        <v>28</v>
      </c>
      <c r="U265" s="6">
        <v>76</v>
      </c>
      <c r="V265" s="6">
        <f>IF(ISERROR(VLOOKUP($S$265,'TAR FIN'!$A$1:$O$85,15,0)),0,VLOOKUP($S$265,'TAR FIN'!$A$1:$O$85,15,0))</f>
        <v>0</v>
      </c>
      <c r="W265" s="6">
        <f>IF(ISERROR(VLOOKUP($T$265,'TAR FIN'!$A$1:$O$85,15,0)),0,VLOOKUP($T$265,'TAR FIN'!$A$1:$O$85,15,0))</f>
        <v>609.05999999999995</v>
      </c>
      <c r="X265" s="6">
        <f>IF(ISERROR(VLOOKUP($U$265,'TAR FIN'!$A$1:$O$85,15,0)),0,VLOOKUP($U$265,'TAR FIN'!$A$1:$O$85,15,0))</f>
        <v>119.97</v>
      </c>
      <c r="Y265" s="6"/>
      <c r="Z265" s="6">
        <f ca="1">('TUSD BE'!$AM$48+'TUSD BF'!$AM$48+'TUSD CVA'!$AM$48)*1</f>
        <v>659.71654674120782</v>
      </c>
      <c r="AA265" s="6">
        <f>('TE BE'!$AB$38+'TE BF'!$AB$38+'TE CVA'!$AB$38)*1</f>
        <v>122.58638016056723</v>
      </c>
      <c r="AB265" s="6">
        <f>$K$265*$V$265</f>
        <v>0</v>
      </c>
      <c r="AC265" s="6">
        <f>$M$265*$W$265</f>
        <v>304.52999999999997</v>
      </c>
      <c r="AD265" s="6">
        <f>$O$265*$X$265</f>
        <v>59.984999999999999</v>
      </c>
      <c r="AE265" s="6">
        <f>$K$265*$Y$265</f>
        <v>0</v>
      </c>
      <c r="AF265" s="6">
        <f ca="1">$M$265*$Z$265</f>
        <v>329.85827337060391</v>
      </c>
      <c r="AG265" s="6">
        <f>$O$265*$AA$265</f>
        <v>61.293190080283615</v>
      </c>
    </row>
    <row r="266" spans="1:33" ht="11.25" customHeight="1" x14ac:dyDescent="0.3">
      <c r="A266" s="4" t="s">
        <v>21</v>
      </c>
      <c r="B266" s="4" t="s">
        <v>33</v>
      </c>
      <c r="C266" s="4" t="s">
        <v>23</v>
      </c>
      <c r="D266" s="4" t="s">
        <v>41</v>
      </c>
      <c r="E266" s="4" t="s">
        <v>25</v>
      </c>
      <c r="F266" s="4" t="s">
        <v>25</v>
      </c>
      <c r="G266" s="4" t="s">
        <v>25</v>
      </c>
      <c r="H266" s="4" t="s">
        <v>25</v>
      </c>
      <c r="I266" s="5">
        <v>44470</v>
      </c>
      <c r="J266" s="6">
        <v>0</v>
      </c>
      <c r="K266" s="6">
        <v>0</v>
      </c>
      <c r="L266" s="6">
        <v>96.47</v>
      </c>
      <c r="M266" s="6">
        <v>96.47</v>
      </c>
      <c r="N266" s="6">
        <v>96.47</v>
      </c>
      <c r="O266" s="6">
        <v>96.47</v>
      </c>
      <c r="P266" s="6">
        <v>277</v>
      </c>
      <c r="Q266" s="4" t="s">
        <v>26</v>
      </c>
      <c r="R266" s="4">
        <v>0</v>
      </c>
      <c r="S266" s="6">
        <v>0</v>
      </c>
      <c r="T266" s="6">
        <v>28</v>
      </c>
      <c r="U266" s="6">
        <v>76</v>
      </c>
      <c r="V266" s="6">
        <f>IF(ISERROR(VLOOKUP($S$266,'TAR FIN'!$A$1:$O$85,15,0)),0,VLOOKUP($S$266,'TAR FIN'!$A$1:$O$85,15,0))</f>
        <v>0</v>
      </c>
      <c r="W266" s="6">
        <f>IF(ISERROR(VLOOKUP($T$266,'TAR FIN'!$A$1:$O$85,15,0)),0,VLOOKUP($T$266,'TAR FIN'!$A$1:$O$85,15,0))</f>
        <v>609.05999999999995</v>
      </c>
      <c r="X266" s="6">
        <f>IF(ISERROR(VLOOKUP($U$266,'TAR FIN'!$A$1:$O$85,15,0)),0,VLOOKUP($U$266,'TAR FIN'!$A$1:$O$85,15,0))</f>
        <v>119.97</v>
      </c>
      <c r="Y266" s="6"/>
      <c r="Z266" s="6">
        <f ca="1">('TUSD BE'!$AM$48+'TUSD BF'!$AM$48+'TUSD CVA'!$AM$48)*1</f>
        <v>659.71654674120782</v>
      </c>
      <c r="AA266" s="6">
        <f>('TE BE'!$AB$38+'TE BF'!$AB$38+'TE CVA'!$AB$38)*1</f>
        <v>122.58638016056723</v>
      </c>
      <c r="AB266" s="6">
        <f>$K$266*$V$266</f>
        <v>0</v>
      </c>
      <c r="AC266" s="6">
        <f>$M$266*$W$266</f>
        <v>58756.018199999991</v>
      </c>
      <c r="AD266" s="6">
        <f>$O$266*$X$266</f>
        <v>11573.5059</v>
      </c>
      <c r="AE266" s="6">
        <f>$K$266*$Y$266</f>
        <v>0</v>
      </c>
      <c r="AF266" s="6">
        <f ca="1">$M$266*$Z$266</f>
        <v>63642.855264124315</v>
      </c>
      <c r="AG266" s="6">
        <f>$O$266*$AA$266</f>
        <v>11825.90809408992</v>
      </c>
    </row>
    <row r="267" spans="1:33" ht="11.25" customHeight="1" x14ac:dyDescent="0.3">
      <c r="A267" s="4" t="s">
        <v>28</v>
      </c>
      <c r="B267" s="4" t="s">
        <v>33</v>
      </c>
      <c r="C267" s="4" t="s">
        <v>23</v>
      </c>
      <c r="D267" s="4" t="s">
        <v>41</v>
      </c>
      <c r="E267" s="4" t="s">
        <v>25</v>
      </c>
      <c r="F267" s="4" t="s">
        <v>25</v>
      </c>
      <c r="G267" s="4" t="s">
        <v>25</v>
      </c>
      <c r="H267" s="4" t="s">
        <v>25</v>
      </c>
      <c r="I267" s="5">
        <v>44470</v>
      </c>
      <c r="J267" s="6">
        <v>0</v>
      </c>
      <c r="K267" s="6">
        <v>0</v>
      </c>
      <c r="L267" s="6">
        <v>0.69199999999999995</v>
      </c>
      <c r="M267" s="6">
        <v>0.69199999999999995</v>
      </c>
      <c r="N267" s="6">
        <v>0.69199999999999995</v>
      </c>
      <c r="O267" s="6">
        <v>0.69199999999999995</v>
      </c>
      <c r="P267" s="6">
        <v>6</v>
      </c>
      <c r="Q267" s="4" t="s">
        <v>26</v>
      </c>
      <c r="R267" s="4">
        <v>0</v>
      </c>
      <c r="S267" s="6">
        <v>0</v>
      </c>
      <c r="T267" s="6">
        <v>28</v>
      </c>
      <c r="U267" s="6">
        <v>76</v>
      </c>
      <c r="V267" s="6">
        <f>IF(ISERROR(VLOOKUP($S$267,'TAR FIN'!$A$1:$O$85,15,0)),0,VLOOKUP($S$267,'TAR FIN'!$A$1:$O$85,15,0))</f>
        <v>0</v>
      </c>
      <c r="W267" s="6">
        <f>IF(ISERROR(VLOOKUP($T$267,'TAR FIN'!$A$1:$O$85,15,0)),0,VLOOKUP($T$267,'TAR FIN'!$A$1:$O$85,15,0))</f>
        <v>609.05999999999995</v>
      </c>
      <c r="X267" s="6">
        <f>IF(ISERROR(VLOOKUP($U$267,'TAR FIN'!$A$1:$O$85,15,0)),0,VLOOKUP($U$267,'TAR FIN'!$A$1:$O$85,15,0))</f>
        <v>119.97</v>
      </c>
      <c r="Y267" s="6"/>
      <c r="Z267" s="6">
        <f ca="1">('TUSD BE'!$AM$48+'TUSD BF'!$AM$48+'TUSD CVA'!$AM$48)*1</f>
        <v>659.71654674120782</v>
      </c>
      <c r="AA267" s="6">
        <f>('TE BE'!$AB$38+'TE BF'!$AB$38+'TE CVA'!$AB$38)*1</f>
        <v>122.58638016056723</v>
      </c>
      <c r="AB267" s="6">
        <f>$K$267*$V$267</f>
        <v>0</v>
      </c>
      <c r="AC267" s="6">
        <f>$M$267*$W$267</f>
        <v>421.46951999999993</v>
      </c>
      <c r="AD267" s="6">
        <f>$O$267*$X$267</f>
        <v>83.019239999999996</v>
      </c>
      <c r="AE267" s="6">
        <f>$K$267*$Y$267</f>
        <v>0</v>
      </c>
      <c r="AF267" s="6">
        <f ca="1">$M$267*$Z$267</f>
        <v>456.52385034491579</v>
      </c>
      <c r="AG267" s="6">
        <f>$O$267*$AA$267</f>
        <v>84.829775071112522</v>
      </c>
    </row>
    <row r="268" spans="1:33" ht="11.25" customHeight="1" x14ac:dyDescent="0.3">
      <c r="A268" s="4" t="s">
        <v>21</v>
      </c>
      <c r="B268" s="4" t="s">
        <v>33</v>
      </c>
      <c r="C268" s="4" t="s">
        <v>23</v>
      </c>
      <c r="D268" s="4" t="s">
        <v>41</v>
      </c>
      <c r="E268" s="4" t="s">
        <v>25</v>
      </c>
      <c r="F268" s="4" t="s">
        <v>25</v>
      </c>
      <c r="G268" s="4" t="s">
        <v>25</v>
      </c>
      <c r="H268" s="4" t="s">
        <v>25</v>
      </c>
      <c r="I268" s="5">
        <v>44501</v>
      </c>
      <c r="J268" s="6">
        <v>0</v>
      </c>
      <c r="K268" s="6">
        <v>0</v>
      </c>
      <c r="L268" s="6">
        <v>99.683000000000007</v>
      </c>
      <c r="M268" s="6">
        <v>99.683000000000007</v>
      </c>
      <c r="N268" s="6">
        <v>99.683000000000007</v>
      </c>
      <c r="O268" s="6">
        <v>99.683000000000007</v>
      </c>
      <c r="P268" s="6">
        <v>278</v>
      </c>
      <c r="Q268" s="4" t="s">
        <v>26</v>
      </c>
      <c r="R268" s="4">
        <v>0</v>
      </c>
      <c r="S268" s="6">
        <v>0</v>
      </c>
      <c r="T268" s="6">
        <v>28</v>
      </c>
      <c r="U268" s="6">
        <v>76</v>
      </c>
      <c r="V268" s="6">
        <f>IF(ISERROR(VLOOKUP($S$268,'TAR FIN'!$A$1:$O$85,15,0)),0,VLOOKUP($S$268,'TAR FIN'!$A$1:$O$85,15,0))</f>
        <v>0</v>
      </c>
      <c r="W268" s="6">
        <f>IF(ISERROR(VLOOKUP($T$268,'TAR FIN'!$A$1:$O$85,15,0)),0,VLOOKUP($T$268,'TAR FIN'!$A$1:$O$85,15,0))</f>
        <v>609.05999999999995</v>
      </c>
      <c r="X268" s="6">
        <f>IF(ISERROR(VLOOKUP($U$268,'TAR FIN'!$A$1:$O$85,15,0)),0,VLOOKUP($U$268,'TAR FIN'!$A$1:$O$85,15,0))</f>
        <v>119.97</v>
      </c>
      <c r="Y268" s="6"/>
      <c r="Z268" s="6">
        <f ca="1">('TUSD BE'!$AM$48+'TUSD BF'!$AM$48+'TUSD CVA'!$AM$48)*1</f>
        <v>659.71654674120782</v>
      </c>
      <c r="AA268" s="6">
        <f>('TE BE'!$AB$38+'TE BF'!$AB$38+'TE CVA'!$AB$38)*1</f>
        <v>122.58638016056723</v>
      </c>
      <c r="AB268" s="6">
        <f>$K$268*$V$268</f>
        <v>0</v>
      </c>
      <c r="AC268" s="6">
        <f>$M$268*$W$268</f>
        <v>60712.92798</v>
      </c>
      <c r="AD268" s="6">
        <f>$O$268*$X$268</f>
        <v>11958.969510000001</v>
      </c>
      <c r="AE268" s="6">
        <f>$K$268*$Y$268</f>
        <v>0</v>
      </c>
      <c r="AF268" s="6">
        <f ca="1">$M$268*$Z$268</f>
        <v>65762.524528803828</v>
      </c>
      <c r="AG268" s="6">
        <f>$O$268*$AA$268</f>
        <v>12219.778133545824</v>
      </c>
    </row>
    <row r="269" spans="1:33" ht="11.25" customHeight="1" x14ac:dyDescent="0.3">
      <c r="A269" s="4" t="s">
        <v>21</v>
      </c>
      <c r="B269" s="4" t="s">
        <v>33</v>
      </c>
      <c r="C269" s="4" t="s">
        <v>23</v>
      </c>
      <c r="D269" s="4" t="s">
        <v>41</v>
      </c>
      <c r="E269" s="4" t="s">
        <v>25</v>
      </c>
      <c r="F269" s="4" t="s">
        <v>25</v>
      </c>
      <c r="G269" s="4" t="s">
        <v>25</v>
      </c>
      <c r="H269" s="4" t="s">
        <v>25</v>
      </c>
      <c r="I269" s="5">
        <v>44531</v>
      </c>
      <c r="J269" s="6">
        <v>0</v>
      </c>
      <c r="K269" s="6">
        <v>0</v>
      </c>
      <c r="L269" s="6">
        <v>98.341999999999999</v>
      </c>
      <c r="M269" s="6">
        <v>98.341999999999999</v>
      </c>
      <c r="N269" s="6">
        <v>98.341999999999999</v>
      </c>
      <c r="O269" s="6">
        <v>98.341999999999999</v>
      </c>
      <c r="P269" s="6">
        <v>274</v>
      </c>
      <c r="Q269" s="4" t="s">
        <v>26</v>
      </c>
      <c r="R269" s="4">
        <v>0</v>
      </c>
      <c r="S269" s="6">
        <v>0</v>
      </c>
      <c r="T269" s="6">
        <v>28</v>
      </c>
      <c r="U269" s="6">
        <v>76</v>
      </c>
      <c r="V269" s="6">
        <f>IF(ISERROR(VLOOKUP($S$269,'TAR FIN'!$A$1:$O$85,15,0)),0,VLOOKUP($S$269,'TAR FIN'!$A$1:$O$85,15,0))</f>
        <v>0</v>
      </c>
      <c r="W269" s="6">
        <f>IF(ISERROR(VLOOKUP($T$269,'TAR FIN'!$A$1:$O$85,15,0)),0,VLOOKUP($T$269,'TAR FIN'!$A$1:$O$85,15,0))</f>
        <v>609.05999999999995</v>
      </c>
      <c r="X269" s="6">
        <f>IF(ISERROR(VLOOKUP($U$269,'TAR FIN'!$A$1:$O$85,15,0)),0,VLOOKUP($U$269,'TAR FIN'!$A$1:$O$85,15,0))</f>
        <v>119.97</v>
      </c>
      <c r="Y269" s="6"/>
      <c r="Z269" s="6">
        <f ca="1">('TUSD BE'!$AM$48+'TUSD BF'!$AM$48+'TUSD CVA'!$AM$48)*1</f>
        <v>659.71654674120782</v>
      </c>
      <c r="AA269" s="6">
        <f>('TE BE'!$AB$38+'TE BF'!$AB$38+'TE CVA'!$AB$38)*1</f>
        <v>122.58638016056723</v>
      </c>
      <c r="AB269" s="6">
        <f>$K$269*$V$269</f>
        <v>0</v>
      </c>
      <c r="AC269" s="6">
        <f>$M$269*$W$269</f>
        <v>59896.178519999994</v>
      </c>
      <c r="AD269" s="6">
        <f>$O$269*$X$269</f>
        <v>11798.089739999999</v>
      </c>
      <c r="AE269" s="6">
        <f>$K$269*$Y$269</f>
        <v>0</v>
      </c>
      <c r="AF269" s="6">
        <f ca="1">$M$269*$Z$269</f>
        <v>64877.844639623858</v>
      </c>
      <c r="AG269" s="6">
        <f>$O$269*$AA$269</f>
        <v>12055.389797750502</v>
      </c>
    </row>
    <row r="270" spans="1:33" ht="11.25" customHeight="1" x14ac:dyDescent="0.3">
      <c r="A270" s="4" t="s">
        <v>28</v>
      </c>
      <c r="B270" s="4" t="s">
        <v>33</v>
      </c>
      <c r="C270" s="4" t="s">
        <v>23</v>
      </c>
      <c r="D270" s="4" t="s">
        <v>41</v>
      </c>
      <c r="E270" s="4" t="s">
        <v>25</v>
      </c>
      <c r="F270" s="4" t="s">
        <v>25</v>
      </c>
      <c r="G270" s="4" t="s">
        <v>25</v>
      </c>
      <c r="H270" s="4" t="s">
        <v>25</v>
      </c>
      <c r="I270" s="5">
        <v>44531</v>
      </c>
      <c r="J270" s="6">
        <v>0</v>
      </c>
      <c r="K270" s="6">
        <v>0</v>
      </c>
      <c r="L270" s="6">
        <v>0.80700000000000005</v>
      </c>
      <c r="M270" s="6">
        <v>0.80700000000000005</v>
      </c>
      <c r="N270" s="6">
        <v>0.80700000000000005</v>
      </c>
      <c r="O270" s="6">
        <v>0.80700000000000005</v>
      </c>
      <c r="P270" s="6">
        <v>6</v>
      </c>
      <c r="Q270" s="4" t="s">
        <v>26</v>
      </c>
      <c r="R270" s="4">
        <v>0</v>
      </c>
      <c r="S270" s="6">
        <v>0</v>
      </c>
      <c r="T270" s="6">
        <v>28</v>
      </c>
      <c r="U270" s="6">
        <v>76</v>
      </c>
      <c r="V270" s="6">
        <f>IF(ISERROR(VLOOKUP($S$270,'TAR FIN'!$A$1:$O$85,15,0)),0,VLOOKUP($S$270,'TAR FIN'!$A$1:$O$85,15,0))</f>
        <v>0</v>
      </c>
      <c r="W270" s="6">
        <f>IF(ISERROR(VLOOKUP($T$270,'TAR FIN'!$A$1:$O$85,15,0)),0,VLOOKUP($T$270,'TAR FIN'!$A$1:$O$85,15,0))</f>
        <v>609.05999999999995</v>
      </c>
      <c r="X270" s="6">
        <f>IF(ISERROR(VLOOKUP($U$270,'TAR FIN'!$A$1:$O$85,15,0)),0,VLOOKUP($U$270,'TAR FIN'!$A$1:$O$85,15,0))</f>
        <v>119.97</v>
      </c>
      <c r="Y270" s="6"/>
      <c r="Z270" s="6">
        <f ca="1">('TUSD BE'!$AM$48+'TUSD BF'!$AM$48+'TUSD CVA'!$AM$48)*1</f>
        <v>659.71654674120782</v>
      </c>
      <c r="AA270" s="6">
        <f>('TE BE'!$AB$38+'TE BF'!$AB$38+'TE CVA'!$AB$38)*1</f>
        <v>122.58638016056723</v>
      </c>
      <c r="AB270" s="6">
        <f>$K$270*$V$270</f>
        <v>0</v>
      </c>
      <c r="AC270" s="6">
        <f>$M$270*$W$270</f>
        <v>491.51141999999999</v>
      </c>
      <c r="AD270" s="6">
        <f>$O$270*$X$270</f>
        <v>96.815790000000007</v>
      </c>
      <c r="AE270" s="6">
        <f>$K$270*$Y$270</f>
        <v>0</v>
      </c>
      <c r="AF270" s="6">
        <f ca="1">$M$270*$Z$270</f>
        <v>532.39125322015479</v>
      </c>
      <c r="AG270" s="6">
        <f>$O$270*$AA$270</f>
        <v>98.927208789577762</v>
      </c>
    </row>
    <row r="271" spans="1:33" ht="11.25" customHeight="1" x14ac:dyDescent="0.3">
      <c r="A271" s="4" t="s">
        <v>21</v>
      </c>
      <c r="B271" s="4" t="s">
        <v>33</v>
      </c>
      <c r="C271" s="4" t="s">
        <v>23</v>
      </c>
      <c r="D271" s="4" t="s">
        <v>41</v>
      </c>
      <c r="E271" s="4" t="s">
        <v>25</v>
      </c>
      <c r="F271" s="4" t="s">
        <v>25</v>
      </c>
      <c r="G271" s="4" t="s">
        <v>25</v>
      </c>
      <c r="H271" s="4" t="s">
        <v>25</v>
      </c>
      <c r="I271" s="5">
        <v>44562</v>
      </c>
      <c r="J271" s="6">
        <v>0</v>
      </c>
      <c r="K271" s="6">
        <v>0</v>
      </c>
      <c r="L271" s="6">
        <v>90.893000000000001</v>
      </c>
      <c r="M271" s="6">
        <v>90.893000000000001</v>
      </c>
      <c r="N271" s="6">
        <v>90.893000000000001</v>
      </c>
      <c r="O271" s="6">
        <v>90.893000000000001</v>
      </c>
      <c r="P271" s="6">
        <v>267</v>
      </c>
      <c r="Q271" s="4" t="s">
        <v>26</v>
      </c>
      <c r="R271" s="4">
        <v>0</v>
      </c>
      <c r="S271" s="6">
        <v>0</v>
      </c>
      <c r="T271" s="6">
        <v>28</v>
      </c>
      <c r="U271" s="6">
        <v>76</v>
      </c>
      <c r="V271" s="6">
        <f>IF(ISERROR(VLOOKUP($S$271,'TAR FIN'!$A$1:$O$85,15,0)),0,VLOOKUP($S$271,'TAR FIN'!$A$1:$O$85,15,0))</f>
        <v>0</v>
      </c>
      <c r="W271" s="6">
        <f>IF(ISERROR(VLOOKUP($T$271,'TAR FIN'!$A$1:$O$85,15,0)),0,VLOOKUP($T$271,'TAR FIN'!$A$1:$O$85,15,0))</f>
        <v>609.05999999999995</v>
      </c>
      <c r="X271" s="6">
        <f>IF(ISERROR(VLOOKUP($U$271,'TAR FIN'!$A$1:$O$85,15,0)),0,VLOOKUP($U$271,'TAR FIN'!$A$1:$O$85,15,0))</f>
        <v>119.97</v>
      </c>
      <c r="Y271" s="6"/>
      <c r="Z271" s="6">
        <f ca="1">('TUSD BE'!$AM$48+'TUSD BF'!$AM$48+'TUSD CVA'!$AM$48)*1</f>
        <v>659.71654674120782</v>
      </c>
      <c r="AA271" s="6">
        <f>('TE BE'!$AB$38+'TE BF'!$AB$38+'TE CVA'!$AB$38)*1</f>
        <v>122.58638016056723</v>
      </c>
      <c r="AB271" s="6">
        <f>$K$271*$V$271</f>
        <v>0</v>
      </c>
      <c r="AC271" s="6">
        <f>$M$271*$W$271</f>
        <v>55359.290579999993</v>
      </c>
      <c r="AD271" s="6">
        <f>$O$271*$X$271</f>
        <v>10904.433209999999</v>
      </c>
      <c r="AE271" s="6">
        <f>$K$271*$Y$271</f>
        <v>0</v>
      </c>
      <c r="AF271" s="6">
        <f ca="1">$M$271*$Z$271</f>
        <v>59963.616082948603</v>
      </c>
      <c r="AG271" s="6">
        <f>$O$271*$AA$271</f>
        <v>11142.243851934438</v>
      </c>
    </row>
    <row r="272" spans="1:33" ht="11.25" customHeight="1" x14ac:dyDescent="0.3">
      <c r="A272" s="4" t="s">
        <v>28</v>
      </c>
      <c r="B272" s="4" t="s">
        <v>33</v>
      </c>
      <c r="C272" s="4" t="s">
        <v>23</v>
      </c>
      <c r="D272" s="4" t="s">
        <v>41</v>
      </c>
      <c r="E272" s="4" t="s">
        <v>25</v>
      </c>
      <c r="F272" s="4" t="s">
        <v>25</v>
      </c>
      <c r="G272" s="4" t="s">
        <v>25</v>
      </c>
      <c r="H272" s="4" t="s">
        <v>25</v>
      </c>
      <c r="I272" s="5">
        <v>44562</v>
      </c>
      <c r="J272" s="6">
        <v>0</v>
      </c>
      <c r="K272" s="6">
        <v>0</v>
      </c>
      <c r="L272" s="6">
        <v>15.837</v>
      </c>
      <c r="M272" s="6">
        <v>15.837</v>
      </c>
      <c r="N272" s="6">
        <v>15.837</v>
      </c>
      <c r="O272" s="6">
        <v>15.837</v>
      </c>
      <c r="P272" s="6">
        <v>8</v>
      </c>
      <c r="Q272" s="4" t="s">
        <v>26</v>
      </c>
      <c r="R272" s="4">
        <v>0</v>
      </c>
      <c r="S272" s="6">
        <v>0</v>
      </c>
      <c r="T272" s="6">
        <v>28</v>
      </c>
      <c r="U272" s="6">
        <v>76</v>
      </c>
      <c r="V272" s="6">
        <f>IF(ISERROR(VLOOKUP($S$272,'TAR FIN'!$A$1:$O$85,15,0)),0,VLOOKUP($S$272,'TAR FIN'!$A$1:$O$85,15,0))</f>
        <v>0</v>
      </c>
      <c r="W272" s="6">
        <f>IF(ISERROR(VLOOKUP($T$272,'TAR FIN'!$A$1:$O$85,15,0)),0,VLOOKUP($T$272,'TAR FIN'!$A$1:$O$85,15,0))</f>
        <v>609.05999999999995</v>
      </c>
      <c r="X272" s="6">
        <f>IF(ISERROR(VLOOKUP($U$272,'TAR FIN'!$A$1:$O$85,15,0)),0,VLOOKUP($U$272,'TAR FIN'!$A$1:$O$85,15,0))</f>
        <v>119.97</v>
      </c>
      <c r="Y272" s="6"/>
      <c r="Z272" s="6">
        <f ca="1">('TUSD BE'!$AM$48+'TUSD BF'!$AM$48+'TUSD CVA'!$AM$48)*1</f>
        <v>659.71654674120782</v>
      </c>
      <c r="AA272" s="6">
        <f>('TE BE'!$AB$38+'TE BF'!$AB$38+'TE CVA'!$AB$38)*1</f>
        <v>122.58638016056723</v>
      </c>
      <c r="AB272" s="6">
        <f>$K$272*$V$272</f>
        <v>0</v>
      </c>
      <c r="AC272" s="6">
        <f>$M$272*$W$272</f>
        <v>9645.683219999999</v>
      </c>
      <c r="AD272" s="6">
        <f>$O$272*$X$272</f>
        <v>1899.96489</v>
      </c>
      <c r="AE272" s="6">
        <f>$K$272*$Y$272</f>
        <v>0</v>
      </c>
      <c r="AF272" s="6">
        <f ca="1">$M$272*$Z$272</f>
        <v>10447.930950740509</v>
      </c>
      <c r="AG272" s="6">
        <f>$O$272*$AA$272</f>
        <v>1941.4005026029031</v>
      </c>
    </row>
    <row r="273" spans="1:33" ht="11.25" customHeight="1" x14ac:dyDescent="0.3">
      <c r="A273" s="4" t="s">
        <v>21</v>
      </c>
      <c r="B273" s="4" t="s">
        <v>33</v>
      </c>
      <c r="C273" s="4" t="s">
        <v>23</v>
      </c>
      <c r="D273" s="4" t="s">
        <v>41</v>
      </c>
      <c r="E273" s="4" t="s">
        <v>25</v>
      </c>
      <c r="F273" s="4" t="s">
        <v>25</v>
      </c>
      <c r="G273" s="4" t="s">
        <v>25</v>
      </c>
      <c r="H273" s="4" t="s">
        <v>25</v>
      </c>
      <c r="I273" s="5">
        <v>44593</v>
      </c>
      <c r="J273" s="6">
        <v>0</v>
      </c>
      <c r="K273" s="6">
        <v>0</v>
      </c>
      <c r="L273" s="6">
        <v>104.35299999999999</v>
      </c>
      <c r="M273" s="6">
        <v>104.35299999999999</v>
      </c>
      <c r="N273" s="6">
        <v>104.35299999999999</v>
      </c>
      <c r="O273" s="6">
        <v>104.35299999999999</v>
      </c>
      <c r="P273" s="6">
        <v>267</v>
      </c>
      <c r="Q273" s="4" t="s">
        <v>26</v>
      </c>
      <c r="R273" s="4">
        <v>0</v>
      </c>
      <c r="S273" s="6">
        <v>0</v>
      </c>
      <c r="T273" s="6">
        <v>28</v>
      </c>
      <c r="U273" s="6">
        <v>76</v>
      </c>
      <c r="V273" s="6">
        <f>IF(ISERROR(VLOOKUP($S$273,'TAR FIN'!$A$1:$O$85,15,0)),0,VLOOKUP($S$273,'TAR FIN'!$A$1:$O$85,15,0))</f>
        <v>0</v>
      </c>
      <c r="W273" s="6">
        <f>IF(ISERROR(VLOOKUP($T$273,'TAR FIN'!$A$1:$O$85,15,0)),0,VLOOKUP($T$273,'TAR FIN'!$A$1:$O$85,15,0))</f>
        <v>609.05999999999995</v>
      </c>
      <c r="X273" s="6">
        <f>IF(ISERROR(VLOOKUP($U$273,'TAR FIN'!$A$1:$O$85,15,0)),0,VLOOKUP($U$273,'TAR FIN'!$A$1:$O$85,15,0))</f>
        <v>119.97</v>
      </c>
      <c r="Y273" s="6"/>
      <c r="Z273" s="6">
        <f ca="1">('TUSD BE'!$AM$48+'TUSD BF'!$AM$48+'TUSD CVA'!$AM$48)*1</f>
        <v>659.71654674120782</v>
      </c>
      <c r="AA273" s="6">
        <f>('TE BE'!$AB$38+'TE BF'!$AB$38+'TE CVA'!$AB$38)*1</f>
        <v>122.58638016056723</v>
      </c>
      <c r="AB273" s="6">
        <f>$K$273*$V$273</f>
        <v>0</v>
      </c>
      <c r="AC273" s="6">
        <f>$M$273*$W$273</f>
        <v>63557.238179999993</v>
      </c>
      <c r="AD273" s="6">
        <f>$O$273*$X$273</f>
        <v>12519.22941</v>
      </c>
      <c r="AE273" s="6">
        <f>$K$273*$Y$273</f>
        <v>0</v>
      </c>
      <c r="AF273" s="6">
        <f ca="1">$M$273*$Z$273</f>
        <v>68843.400802085249</v>
      </c>
      <c r="AG273" s="6">
        <f>$O$273*$AA$273</f>
        <v>12792.256528895672</v>
      </c>
    </row>
    <row r="274" spans="1:33" ht="11.25" customHeight="1" x14ac:dyDescent="0.3">
      <c r="A274" s="4" t="s">
        <v>27</v>
      </c>
      <c r="B274" s="4" t="s">
        <v>33</v>
      </c>
      <c r="C274" s="4" t="s">
        <v>23</v>
      </c>
      <c r="D274" s="4" t="s">
        <v>41</v>
      </c>
      <c r="E274" s="4" t="s">
        <v>25</v>
      </c>
      <c r="F274" s="4" t="s">
        <v>25</v>
      </c>
      <c r="G274" s="4" t="s">
        <v>25</v>
      </c>
      <c r="H274" s="4" t="s">
        <v>25</v>
      </c>
      <c r="I274" s="5">
        <v>44593</v>
      </c>
      <c r="J274" s="6">
        <v>0</v>
      </c>
      <c r="K274" s="6">
        <v>0</v>
      </c>
      <c r="L274" s="6">
        <v>-5.2809999999999997</v>
      </c>
      <c r="M274" s="6">
        <v>-5.2809999999999997</v>
      </c>
      <c r="N274" s="6">
        <v>-5.2809999999999997</v>
      </c>
      <c r="O274" s="6">
        <v>-5.2809999999999997</v>
      </c>
      <c r="P274" s="6">
        <v>0</v>
      </c>
      <c r="Q274" s="4" t="s">
        <v>26</v>
      </c>
      <c r="R274" s="4">
        <v>0</v>
      </c>
      <c r="S274" s="6">
        <v>0</v>
      </c>
      <c r="T274" s="6">
        <v>28</v>
      </c>
      <c r="U274" s="6">
        <v>76</v>
      </c>
      <c r="V274" s="6">
        <f>IF(ISERROR(VLOOKUP($S$274,'TAR FIN'!$A$1:$O$85,15,0)),0,VLOOKUP($S$274,'TAR FIN'!$A$1:$O$85,15,0))</f>
        <v>0</v>
      </c>
      <c r="W274" s="6">
        <f>IF(ISERROR(VLOOKUP($T$274,'TAR FIN'!$A$1:$O$85,15,0)),0,VLOOKUP($T$274,'TAR FIN'!$A$1:$O$85,15,0))</f>
        <v>609.05999999999995</v>
      </c>
      <c r="X274" s="6">
        <f>IF(ISERROR(VLOOKUP($U$274,'TAR FIN'!$A$1:$O$85,15,0)),0,VLOOKUP($U$274,'TAR FIN'!$A$1:$O$85,15,0))</f>
        <v>119.97</v>
      </c>
      <c r="Y274" s="6"/>
      <c r="Z274" s="6">
        <f ca="1">('TUSD BE'!$AM$48+'TUSD BF'!$AM$48+'TUSD CVA'!$AM$48)*1</f>
        <v>659.71654674120782</v>
      </c>
      <c r="AA274" s="6">
        <f>('TE BE'!$AB$38+'TE BF'!$AB$38+'TE CVA'!$AB$38)*1</f>
        <v>122.58638016056723</v>
      </c>
      <c r="AB274" s="6">
        <f>$K$274*$V$274</f>
        <v>0</v>
      </c>
      <c r="AC274" s="6">
        <f>$M$274*$W$274</f>
        <v>-3216.4458599999994</v>
      </c>
      <c r="AD274" s="6">
        <f>$O$274*$X$274</f>
        <v>-633.56156999999996</v>
      </c>
      <c r="AE274" s="6">
        <f>$K$274*$Y$274</f>
        <v>0</v>
      </c>
      <c r="AF274" s="6">
        <f ca="1">$M$274*$Z$274</f>
        <v>-3483.9630833403185</v>
      </c>
      <c r="AG274" s="6">
        <f>$O$274*$AA$274</f>
        <v>-647.37867362795555</v>
      </c>
    </row>
    <row r="275" spans="1:33" ht="11.25" customHeight="1" x14ac:dyDescent="0.3">
      <c r="A275" s="4" t="s">
        <v>28</v>
      </c>
      <c r="B275" s="4" t="s">
        <v>33</v>
      </c>
      <c r="C275" s="4" t="s">
        <v>23</v>
      </c>
      <c r="D275" s="4" t="s">
        <v>41</v>
      </c>
      <c r="E275" s="4" t="s">
        <v>25</v>
      </c>
      <c r="F275" s="4" t="s">
        <v>25</v>
      </c>
      <c r="G275" s="4" t="s">
        <v>25</v>
      </c>
      <c r="H275" s="4" t="s">
        <v>25</v>
      </c>
      <c r="I275" s="5">
        <v>44593</v>
      </c>
      <c r="J275" s="6">
        <v>0</v>
      </c>
      <c r="K275" s="6">
        <v>0</v>
      </c>
      <c r="L275" s="6">
        <v>20.271000000000001</v>
      </c>
      <c r="M275" s="6">
        <v>20.271000000000001</v>
      </c>
      <c r="N275" s="6">
        <v>20.271000000000001</v>
      </c>
      <c r="O275" s="6">
        <v>20.271000000000001</v>
      </c>
      <c r="P275" s="6">
        <v>8</v>
      </c>
      <c r="Q275" s="4" t="s">
        <v>26</v>
      </c>
      <c r="R275" s="4">
        <v>0</v>
      </c>
      <c r="S275" s="6">
        <v>0</v>
      </c>
      <c r="T275" s="6">
        <v>28</v>
      </c>
      <c r="U275" s="6">
        <v>76</v>
      </c>
      <c r="V275" s="6">
        <f>IF(ISERROR(VLOOKUP($S$275,'TAR FIN'!$A$1:$O$85,15,0)),0,VLOOKUP($S$275,'TAR FIN'!$A$1:$O$85,15,0))</f>
        <v>0</v>
      </c>
      <c r="W275" s="6">
        <f>IF(ISERROR(VLOOKUP($T$275,'TAR FIN'!$A$1:$O$85,15,0)),0,VLOOKUP($T$275,'TAR FIN'!$A$1:$O$85,15,0))</f>
        <v>609.05999999999995</v>
      </c>
      <c r="X275" s="6">
        <f>IF(ISERROR(VLOOKUP($U$275,'TAR FIN'!$A$1:$O$85,15,0)),0,VLOOKUP($U$275,'TAR FIN'!$A$1:$O$85,15,0))</f>
        <v>119.97</v>
      </c>
      <c r="Y275" s="6"/>
      <c r="Z275" s="6">
        <f ca="1">('TUSD BE'!$AM$48+'TUSD BF'!$AM$48+'TUSD CVA'!$AM$48)*1</f>
        <v>659.71654674120782</v>
      </c>
      <c r="AA275" s="6">
        <f>('TE BE'!$AB$38+'TE BF'!$AB$38+'TE CVA'!$AB$38)*1</f>
        <v>122.58638016056723</v>
      </c>
      <c r="AB275" s="6">
        <f>$K$275*$V$275</f>
        <v>0</v>
      </c>
      <c r="AC275" s="6">
        <f>$M$275*$W$275</f>
        <v>12346.25526</v>
      </c>
      <c r="AD275" s="6">
        <f>$O$275*$X$275</f>
        <v>2431.9118699999999</v>
      </c>
      <c r="AE275" s="6">
        <f>$K$275*$Y$275</f>
        <v>0</v>
      </c>
      <c r="AF275" s="6">
        <f ca="1">$M$275*$Z$275</f>
        <v>13373.114118991025</v>
      </c>
      <c r="AG275" s="6">
        <f>$O$275*$AA$275</f>
        <v>2484.9485122348583</v>
      </c>
    </row>
    <row r="276" spans="1:33" ht="11.25" customHeight="1" x14ac:dyDescent="0.3">
      <c r="A276" s="4" t="s">
        <v>21</v>
      </c>
      <c r="B276" s="4" t="s">
        <v>33</v>
      </c>
      <c r="C276" s="4" t="s">
        <v>23</v>
      </c>
      <c r="D276" s="4" t="s">
        <v>41</v>
      </c>
      <c r="E276" s="4" t="s">
        <v>25</v>
      </c>
      <c r="F276" s="4" t="s">
        <v>25</v>
      </c>
      <c r="G276" s="4" t="s">
        <v>25</v>
      </c>
      <c r="H276" s="4" t="s">
        <v>25</v>
      </c>
      <c r="I276" s="5">
        <v>44621</v>
      </c>
      <c r="J276" s="6">
        <v>0</v>
      </c>
      <c r="K276" s="6">
        <v>0</v>
      </c>
      <c r="L276" s="6">
        <v>94.872</v>
      </c>
      <c r="M276" s="6">
        <v>94.872</v>
      </c>
      <c r="N276" s="6">
        <v>94.872</v>
      </c>
      <c r="O276" s="6">
        <v>94.872</v>
      </c>
      <c r="P276" s="6">
        <v>266</v>
      </c>
      <c r="Q276" s="4" t="s">
        <v>26</v>
      </c>
      <c r="R276" s="4">
        <v>0</v>
      </c>
      <c r="S276" s="6">
        <v>0</v>
      </c>
      <c r="T276" s="6">
        <v>28</v>
      </c>
      <c r="U276" s="6">
        <v>76</v>
      </c>
      <c r="V276" s="6">
        <f>IF(ISERROR(VLOOKUP($S$276,'TAR FIN'!$A$1:$O$85,15,0)),0,VLOOKUP($S$276,'TAR FIN'!$A$1:$O$85,15,0))</f>
        <v>0</v>
      </c>
      <c r="W276" s="6">
        <f>IF(ISERROR(VLOOKUP($T$276,'TAR FIN'!$A$1:$O$85,15,0)),0,VLOOKUP($T$276,'TAR FIN'!$A$1:$O$85,15,0))</f>
        <v>609.05999999999995</v>
      </c>
      <c r="X276" s="6">
        <f>IF(ISERROR(VLOOKUP($U$276,'TAR FIN'!$A$1:$O$85,15,0)),0,VLOOKUP($U$276,'TAR FIN'!$A$1:$O$85,15,0))</f>
        <v>119.97</v>
      </c>
      <c r="Y276" s="6"/>
      <c r="Z276" s="6">
        <f ca="1">('TUSD BE'!$AM$48+'TUSD BF'!$AM$48+'TUSD CVA'!$AM$48)*1</f>
        <v>659.71654674120782</v>
      </c>
      <c r="AA276" s="6">
        <f>('TE BE'!$AB$38+'TE BF'!$AB$38+'TE CVA'!$AB$38)*1</f>
        <v>122.58638016056723</v>
      </c>
      <c r="AB276" s="6">
        <f>$K$276*$V$276</f>
        <v>0</v>
      </c>
      <c r="AC276" s="6">
        <f>$M$276*$W$276</f>
        <v>57782.740319999997</v>
      </c>
      <c r="AD276" s="6">
        <f>$O$276*$X$276</f>
        <v>11381.79384</v>
      </c>
      <c r="AE276" s="6">
        <f>$K$276*$Y$276</f>
        <v>0</v>
      </c>
      <c r="AF276" s="6">
        <f ca="1">$M$276*$Z$276</f>
        <v>62588.628222431871</v>
      </c>
      <c r="AG276" s="6">
        <f>$O$276*$AA$276</f>
        <v>11630.015058593335</v>
      </c>
    </row>
    <row r="277" spans="1:33" ht="11.25" customHeight="1" x14ac:dyDescent="0.3">
      <c r="A277" s="4" t="s">
        <v>28</v>
      </c>
      <c r="B277" s="4" t="s">
        <v>33</v>
      </c>
      <c r="C277" s="4" t="s">
        <v>23</v>
      </c>
      <c r="D277" s="4" t="s">
        <v>41</v>
      </c>
      <c r="E277" s="4" t="s">
        <v>25</v>
      </c>
      <c r="F277" s="4" t="s">
        <v>25</v>
      </c>
      <c r="G277" s="4" t="s">
        <v>25</v>
      </c>
      <c r="H277" s="4" t="s">
        <v>25</v>
      </c>
      <c r="I277" s="5">
        <v>44621</v>
      </c>
      <c r="J277" s="6">
        <v>0</v>
      </c>
      <c r="K277" s="6">
        <v>0</v>
      </c>
      <c r="L277" s="6">
        <v>19.905000000000001</v>
      </c>
      <c r="M277" s="6">
        <v>19.905000000000001</v>
      </c>
      <c r="N277" s="6">
        <v>19.905000000000001</v>
      </c>
      <c r="O277" s="6">
        <v>19.905000000000001</v>
      </c>
      <c r="P277" s="6">
        <v>8</v>
      </c>
      <c r="Q277" s="4" t="s">
        <v>26</v>
      </c>
      <c r="R277" s="4">
        <v>0</v>
      </c>
      <c r="S277" s="6">
        <v>0</v>
      </c>
      <c r="T277" s="6">
        <v>28</v>
      </c>
      <c r="U277" s="6">
        <v>76</v>
      </c>
      <c r="V277" s="6">
        <f>IF(ISERROR(VLOOKUP($S$277,'TAR FIN'!$A$1:$O$85,15,0)),0,VLOOKUP($S$277,'TAR FIN'!$A$1:$O$85,15,0))</f>
        <v>0</v>
      </c>
      <c r="W277" s="6">
        <f>IF(ISERROR(VLOOKUP($T$277,'TAR FIN'!$A$1:$O$85,15,0)),0,VLOOKUP($T$277,'TAR FIN'!$A$1:$O$85,15,0))</f>
        <v>609.05999999999995</v>
      </c>
      <c r="X277" s="6">
        <f>IF(ISERROR(VLOOKUP($U$277,'TAR FIN'!$A$1:$O$85,15,0)),0,VLOOKUP($U$277,'TAR FIN'!$A$1:$O$85,15,0))</f>
        <v>119.97</v>
      </c>
      <c r="Y277" s="6"/>
      <c r="Z277" s="6">
        <f ca="1">('TUSD BE'!$AM$48+'TUSD BF'!$AM$48+'TUSD CVA'!$AM$48)*1</f>
        <v>659.71654674120782</v>
      </c>
      <c r="AA277" s="6">
        <f>('TE BE'!$AB$38+'TE BF'!$AB$38+'TE CVA'!$AB$38)*1</f>
        <v>122.58638016056723</v>
      </c>
      <c r="AB277" s="6">
        <f>$K$277*$V$277</f>
        <v>0</v>
      </c>
      <c r="AC277" s="6">
        <f>$M$277*$W$277</f>
        <v>12123.3393</v>
      </c>
      <c r="AD277" s="6">
        <f>$O$277*$X$277</f>
        <v>2388.0028500000003</v>
      </c>
      <c r="AE277" s="6">
        <f>$K$277*$Y$277</f>
        <v>0</v>
      </c>
      <c r="AF277" s="6">
        <f ca="1">$M$277*$Z$277</f>
        <v>13131.657862883743</v>
      </c>
      <c r="AG277" s="6">
        <f>$O$277*$AA$277</f>
        <v>2440.0818970960909</v>
      </c>
    </row>
    <row r="278" spans="1:33" ht="11.25" customHeight="1" x14ac:dyDescent="0.3">
      <c r="A278" s="4" t="s">
        <v>21</v>
      </c>
      <c r="B278" s="4" t="s">
        <v>33</v>
      </c>
      <c r="C278" s="4" t="s">
        <v>23</v>
      </c>
      <c r="D278" s="4" t="s">
        <v>41</v>
      </c>
      <c r="E278" s="4" t="s">
        <v>25</v>
      </c>
      <c r="F278" s="4" t="s">
        <v>25</v>
      </c>
      <c r="G278" s="4" t="s">
        <v>25</v>
      </c>
      <c r="H278" s="4" t="s">
        <v>25</v>
      </c>
      <c r="I278" s="5">
        <v>44652</v>
      </c>
      <c r="J278" s="6">
        <v>0</v>
      </c>
      <c r="K278" s="6">
        <v>0</v>
      </c>
      <c r="L278" s="6">
        <v>86.762</v>
      </c>
      <c r="M278" s="6">
        <v>86.762</v>
      </c>
      <c r="N278" s="6">
        <v>86.762</v>
      </c>
      <c r="O278" s="6">
        <v>86.762</v>
      </c>
      <c r="P278" s="6">
        <v>265</v>
      </c>
      <c r="Q278" s="4" t="s">
        <v>26</v>
      </c>
      <c r="R278" s="4">
        <v>0</v>
      </c>
      <c r="S278" s="6">
        <v>0</v>
      </c>
      <c r="T278" s="6">
        <v>28</v>
      </c>
      <c r="U278" s="6">
        <v>76</v>
      </c>
      <c r="V278" s="6">
        <f>IF(ISERROR(VLOOKUP($S$278,'TAR FIN'!$A$1:$O$85,15,0)),0,VLOOKUP($S$278,'TAR FIN'!$A$1:$O$85,15,0))</f>
        <v>0</v>
      </c>
      <c r="W278" s="6">
        <f>IF(ISERROR(VLOOKUP($T$278,'TAR FIN'!$A$1:$O$85,15,0)),0,VLOOKUP($T$278,'TAR FIN'!$A$1:$O$85,15,0))</f>
        <v>609.05999999999995</v>
      </c>
      <c r="X278" s="6">
        <f>IF(ISERROR(VLOOKUP($U$278,'TAR FIN'!$A$1:$O$85,15,0)),0,VLOOKUP($U$278,'TAR FIN'!$A$1:$O$85,15,0))</f>
        <v>119.97</v>
      </c>
      <c r="Y278" s="6"/>
      <c r="Z278" s="6">
        <f ca="1">('TUSD BE'!$AM$48+'TUSD BF'!$AM$48+'TUSD CVA'!$AM$48)*1</f>
        <v>659.71654674120782</v>
      </c>
      <c r="AA278" s="6">
        <f>('TE BE'!$AB$38+'TE BF'!$AB$38+'TE CVA'!$AB$38)*1</f>
        <v>122.58638016056723</v>
      </c>
      <c r="AB278" s="6">
        <f>$K$278*$V$278</f>
        <v>0</v>
      </c>
      <c r="AC278" s="6">
        <f>$M$278*$W$278</f>
        <v>52843.263719999995</v>
      </c>
      <c r="AD278" s="6">
        <f>$O$278*$X$278</f>
        <v>10408.83714</v>
      </c>
      <c r="AE278" s="6">
        <f>$K$278*$Y$278</f>
        <v>0</v>
      </c>
      <c r="AF278" s="6">
        <f ca="1">$M$278*$Z$278</f>
        <v>57238.327028360676</v>
      </c>
      <c r="AG278" s="6">
        <f>$O$278*$AA$278</f>
        <v>10635.839515491134</v>
      </c>
    </row>
    <row r="279" spans="1:33" ht="11.25" customHeight="1" x14ac:dyDescent="0.3">
      <c r="A279" s="4" t="s">
        <v>27</v>
      </c>
      <c r="B279" s="4" t="s">
        <v>33</v>
      </c>
      <c r="C279" s="4" t="s">
        <v>23</v>
      </c>
      <c r="D279" s="4" t="s">
        <v>41</v>
      </c>
      <c r="E279" s="4" t="s">
        <v>25</v>
      </c>
      <c r="F279" s="4" t="s">
        <v>25</v>
      </c>
      <c r="G279" s="4" t="s">
        <v>25</v>
      </c>
      <c r="H279" s="4" t="s">
        <v>25</v>
      </c>
      <c r="I279" s="5">
        <v>44652</v>
      </c>
      <c r="J279" s="6">
        <v>0</v>
      </c>
      <c r="K279" s="6">
        <v>0</v>
      </c>
      <c r="L279" s="6">
        <v>-0.32900000000000001</v>
      </c>
      <c r="M279" s="6">
        <v>-0.32900000000000001</v>
      </c>
      <c r="N279" s="6">
        <v>-0.32900000000000001</v>
      </c>
      <c r="O279" s="6">
        <v>-0.32900000000000001</v>
      </c>
      <c r="P279" s="6">
        <v>0</v>
      </c>
      <c r="Q279" s="4" t="s">
        <v>26</v>
      </c>
      <c r="R279" s="4">
        <v>0</v>
      </c>
      <c r="S279" s="6">
        <v>0</v>
      </c>
      <c r="T279" s="6">
        <v>28</v>
      </c>
      <c r="U279" s="6">
        <v>76</v>
      </c>
      <c r="V279" s="6">
        <f>IF(ISERROR(VLOOKUP($S$279,'TAR FIN'!$A$1:$O$85,15,0)),0,VLOOKUP($S$279,'TAR FIN'!$A$1:$O$85,15,0))</f>
        <v>0</v>
      </c>
      <c r="W279" s="6">
        <f>IF(ISERROR(VLOOKUP($T$279,'TAR FIN'!$A$1:$O$85,15,0)),0,VLOOKUP($T$279,'TAR FIN'!$A$1:$O$85,15,0))</f>
        <v>609.05999999999995</v>
      </c>
      <c r="X279" s="6">
        <f>IF(ISERROR(VLOOKUP($U$279,'TAR FIN'!$A$1:$O$85,15,0)),0,VLOOKUP($U$279,'TAR FIN'!$A$1:$O$85,15,0))</f>
        <v>119.97</v>
      </c>
      <c r="Y279" s="6"/>
      <c r="Z279" s="6">
        <f ca="1">('TUSD BE'!$AM$48+'TUSD BF'!$AM$48+'TUSD CVA'!$AM$48)*1</f>
        <v>659.71654674120782</v>
      </c>
      <c r="AA279" s="6">
        <f>('TE BE'!$AB$38+'TE BF'!$AB$38+'TE CVA'!$AB$38)*1</f>
        <v>122.58638016056723</v>
      </c>
      <c r="AB279" s="6">
        <f>$K$279*$V$279</f>
        <v>0</v>
      </c>
      <c r="AC279" s="6">
        <f>$M$279*$W$279</f>
        <v>-200.38074</v>
      </c>
      <c r="AD279" s="6">
        <f>$O$279*$X$279</f>
        <v>-39.470130000000005</v>
      </c>
      <c r="AE279" s="6">
        <f>$K$279*$Y$279</f>
        <v>0</v>
      </c>
      <c r="AF279" s="6">
        <f ca="1">$M$279*$Z$279</f>
        <v>-217.04674387785738</v>
      </c>
      <c r="AG279" s="6">
        <f>$O$279*$AA$279</f>
        <v>-40.330919072826617</v>
      </c>
    </row>
    <row r="280" spans="1:33" ht="11.25" customHeight="1" x14ac:dyDescent="0.3">
      <c r="A280" s="4" t="s">
        <v>28</v>
      </c>
      <c r="B280" s="4" t="s">
        <v>33</v>
      </c>
      <c r="C280" s="4" t="s">
        <v>23</v>
      </c>
      <c r="D280" s="4" t="s">
        <v>41</v>
      </c>
      <c r="E280" s="4" t="s">
        <v>25</v>
      </c>
      <c r="F280" s="4" t="s">
        <v>25</v>
      </c>
      <c r="G280" s="4" t="s">
        <v>25</v>
      </c>
      <c r="H280" s="4" t="s">
        <v>25</v>
      </c>
      <c r="I280" s="5">
        <v>44652</v>
      </c>
      <c r="J280" s="6">
        <v>0</v>
      </c>
      <c r="K280" s="6">
        <v>0</v>
      </c>
      <c r="L280" s="6">
        <v>11.178000000000001</v>
      </c>
      <c r="M280" s="6">
        <v>11.178000000000001</v>
      </c>
      <c r="N280" s="6">
        <v>11.178000000000001</v>
      </c>
      <c r="O280" s="6">
        <v>11.178000000000001</v>
      </c>
      <c r="P280" s="6">
        <v>8</v>
      </c>
      <c r="Q280" s="4" t="s">
        <v>26</v>
      </c>
      <c r="R280" s="4">
        <v>0</v>
      </c>
      <c r="S280" s="6">
        <v>0</v>
      </c>
      <c r="T280" s="6">
        <v>28</v>
      </c>
      <c r="U280" s="6">
        <v>76</v>
      </c>
      <c r="V280" s="6">
        <f>IF(ISERROR(VLOOKUP($S$280,'TAR FIN'!$A$1:$O$85,15,0)),0,VLOOKUP($S$280,'TAR FIN'!$A$1:$O$85,15,0))</f>
        <v>0</v>
      </c>
      <c r="W280" s="6">
        <f>IF(ISERROR(VLOOKUP($T$280,'TAR FIN'!$A$1:$O$85,15,0)),0,VLOOKUP($T$280,'TAR FIN'!$A$1:$O$85,15,0))</f>
        <v>609.05999999999995</v>
      </c>
      <c r="X280" s="6">
        <f>IF(ISERROR(VLOOKUP($U$280,'TAR FIN'!$A$1:$O$85,15,0)),0,VLOOKUP($U$280,'TAR FIN'!$A$1:$O$85,15,0))</f>
        <v>119.97</v>
      </c>
      <c r="Y280" s="6"/>
      <c r="Z280" s="6">
        <f ca="1">('TUSD BE'!$AM$48+'TUSD BF'!$AM$48+'TUSD CVA'!$AM$48)*1</f>
        <v>659.71654674120782</v>
      </c>
      <c r="AA280" s="6">
        <f>('TE BE'!$AB$38+'TE BF'!$AB$38+'TE CVA'!$AB$38)*1</f>
        <v>122.58638016056723</v>
      </c>
      <c r="AB280" s="6">
        <f>$K$280*$V$280</f>
        <v>0</v>
      </c>
      <c r="AC280" s="6">
        <f>$M$280*$W$280</f>
        <v>6808.0726800000002</v>
      </c>
      <c r="AD280" s="6">
        <f>$O$280*$X$280</f>
        <v>1341.02466</v>
      </c>
      <c r="AE280" s="6">
        <f>$K$280*$Y$280</f>
        <v>0</v>
      </c>
      <c r="AF280" s="6">
        <f ca="1">$M$280*$Z$280</f>
        <v>7374.3115594732217</v>
      </c>
      <c r="AG280" s="6">
        <f>$O$280*$AA$280</f>
        <v>1370.2705574348206</v>
      </c>
    </row>
    <row r="281" spans="1:33" ht="11.25" customHeight="1" x14ac:dyDescent="0.3">
      <c r="A281" s="4" t="s">
        <v>21</v>
      </c>
      <c r="B281" s="4" t="s">
        <v>33</v>
      </c>
      <c r="C281" s="4" t="s">
        <v>23</v>
      </c>
      <c r="D281" s="4" t="s">
        <v>41</v>
      </c>
      <c r="E281" s="4" t="s">
        <v>25</v>
      </c>
      <c r="F281" s="4" t="s">
        <v>25</v>
      </c>
      <c r="G281" s="4" t="s">
        <v>25</v>
      </c>
      <c r="H281" s="4" t="s">
        <v>25</v>
      </c>
      <c r="I281" s="5">
        <v>44682</v>
      </c>
      <c r="J281" s="6">
        <v>0</v>
      </c>
      <c r="K281" s="6">
        <v>0</v>
      </c>
      <c r="L281" s="6">
        <v>83.935000000000002</v>
      </c>
      <c r="M281" s="6">
        <v>83.935000000000002</v>
      </c>
      <c r="N281" s="6">
        <v>83.935000000000002</v>
      </c>
      <c r="O281" s="6">
        <v>83.935000000000002</v>
      </c>
      <c r="P281" s="6">
        <v>262</v>
      </c>
      <c r="Q281" s="4" t="s">
        <v>26</v>
      </c>
      <c r="R281" s="4">
        <v>0</v>
      </c>
      <c r="S281" s="6">
        <v>0</v>
      </c>
      <c r="T281" s="6">
        <v>28</v>
      </c>
      <c r="U281" s="6">
        <v>76</v>
      </c>
      <c r="V281" s="6">
        <f>IF(ISERROR(VLOOKUP($S$281,'TAR FIN'!$A$1:$O$85,15,0)),0,VLOOKUP($S$281,'TAR FIN'!$A$1:$O$85,15,0))</f>
        <v>0</v>
      </c>
      <c r="W281" s="6">
        <f>IF(ISERROR(VLOOKUP($T$281,'TAR FIN'!$A$1:$O$85,15,0)),0,VLOOKUP($T$281,'TAR FIN'!$A$1:$O$85,15,0))</f>
        <v>609.05999999999995</v>
      </c>
      <c r="X281" s="6">
        <f>IF(ISERROR(VLOOKUP($U$281,'TAR FIN'!$A$1:$O$85,15,0)),0,VLOOKUP($U$281,'TAR FIN'!$A$1:$O$85,15,0))</f>
        <v>119.97</v>
      </c>
      <c r="Y281" s="6"/>
      <c r="Z281" s="6">
        <f ca="1">('TUSD BE'!$AM$48+'TUSD BF'!$AM$48+'TUSD CVA'!$AM$48)*1</f>
        <v>659.71654674120782</v>
      </c>
      <c r="AA281" s="6">
        <f>('TE BE'!$AB$38+'TE BF'!$AB$38+'TE CVA'!$AB$38)*1</f>
        <v>122.58638016056723</v>
      </c>
      <c r="AB281" s="6">
        <f>$K$281*$V$281</f>
        <v>0</v>
      </c>
      <c r="AC281" s="6">
        <f>$M$281*$W$281</f>
        <v>51121.451099999998</v>
      </c>
      <c r="AD281" s="6">
        <f>$O$281*$X$281</f>
        <v>10069.68195</v>
      </c>
      <c r="AE281" s="6">
        <f>$K$281*$Y$281</f>
        <v>0</v>
      </c>
      <c r="AF281" s="6">
        <f ca="1">$M$281*$Z$281</f>
        <v>55373.30835072328</v>
      </c>
      <c r="AG281" s="6">
        <f>$O$281*$AA$281</f>
        <v>10289.287818777211</v>
      </c>
    </row>
    <row r="282" spans="1:33" ht="11.25" customHeight="1" x14ac:dyDescent="0.3">
      <c r="A282" s="4" t="s">
        <v>28</v>
      </c>
      <c r="B282" s="4" t="s">
        <v>33</v>
      </c>
      <c r="C282" s="4" t="s">
        <v>23</v>
      </c>
      <c r="D282" s="4" t="s">
        <v>41</v>
      </c>
      <c r="E282" s="4" t="s">
        <v>25</v>
      </c>
      <c r="F282" s="4" t="s">
        <v>25</v>
      </c>
      <c r="G282" s="4" t="s">
        <v>25</v>
      </c>
      <c r="H282" s="4" t="s">
        <v>25</v>
      </c>
      <c r="I282" s="5">
        <v>44682</v>
      </c>
      <c r="J282" s="6">
        <v>0</v>
      </c>
      <c r="K282" s="6">
        <v>0</v>
      </c>
      <c r="L282" s="6">
        <v>10.384</v>
      </c>
      <c r="M282" s="6">
        <v>10.384</v>
      </c>
      <c r="N282" s="6">
        <v>10.384</v>
      </c>
      <c r="O282" s="6">
        <v>10.384</v>
      </c>
      <c r="P282" s="6">
        <v>8</v>
      </c>
      <c r="Q282" s="4" t="s">
        <v>26</v>
      </c>
      <c r="R282" s="4">
        <v>0</v>
      </c>
      <c r="S282" s="6">
        <v>0</v>
      </c>
      <c r="T282" s="6">
        <v>28</v>
      </c>
      <c r="U282" s="6">
        <v>76</v>
      </c>
      <c r="V282" s="6">
        <f>IF(ISERROR(VLOOKUP($S$282,'TAR FIN'!$A$1:$O$85,15,0)),0,VLOOKUP($S$282,'TAR FIN'!$A$1:$O$85,15,0))</f>
        <v>0</v>
      </c>
      <c r="W282" s="6">
        <f>IF(ISERROR(VLOOKUP($T$282,'TAR FIN'!$A$1:$O$85,15,0)),0,VLOOKUP($T$282,'TAR FIN'!$A$1:$O$85,15,0))</f>
        <v>609.05999999999995</v>
      </c>
      <c r="X282" s="6">
        <f>IF(ISERROR(VLOOKUP($U$282,'TAR FIN'!$A$1:$O$85,15,0)),0,VLOOKUP($U$282,'TAR FIN'!$A$1:$O$85,15,0))</f>
        <v>119.97</v>
      </c>
      <c r="Y282" s="6"/>
      <c r="Z282" s="6">
        <f ca="1">('TUSD BE'!$AM$48+'TUSD BF'!$AM$48+'TUSD CVA'!$AM$48)*1</f>
        <v>659.71654674120782</v>
      </c>
      <c r="AA282" s="6">
        <f>('TE BE'!$AB$38+'TE BF'!$AB$38+'TE CVA'!$AB$38)*1</f>
        <v>122.58638016056723</v>
      </c>
      <c r="AB282" s="6">
        <f>$K$282*$V$282</f>
        <v>0</v>
      </c>
      <c r="AC282" s="6">
        <f>$M$282*$W$282</f>
        <v>6324.4790399999993</v>
      </c>
      <c r="AD282" s="6">
        <f>$O$282*$X$282</f>
        <v>1245.76848</v>
      </c>
      <c r="AE282" s="6">
        <f>$K$282*$Y$282</f>
        <v>0</v>
      </c>
      <c r="AF282" s="6">
        <f ca="1">$M$282*$Z$282</f>
        <v>6850.4966213607022</v>
      </c>
      <c r="AG282" s="6">
        <f>$O$282*$AA$282</f>
        <v>1272.9369715873302</v>
      </c>
    </row>
    <row r="283" spans="1:33" ht="11.25" customHeight="1" x14ac:dyDescent="0.3">
      <c r="A283" s="4" t="s">
        <v>21</v>
      </c>
      <c r="B283" s="4" t="s">
        <v>33</v>
      </c>
      <c r="C283" s="4" t="s">
        <v>23</v>
      </c>
      <c r="D283" s="4" t="s">
        <v>41</v>
      </c>
      <c r="E283" s="4" t="s">
        <v>25</v>
      </c>
      <c r="F283" s="4" t="s">
        <v>25</v>
      </c>
      <c r="G283" s="4" t="s">
        <v>25</v>
      </c>
      <c r="H283" s="4" t="s">
        <v>25</v>
      </c>
      <c r="I283" s="5">
        <v>44713</v>
      </c>
      <c r="J283" s="6">
        <v>0</v>
      </c>
      <c r="K283" s="6">
        <v>0</v>
      </c>
      <c r="L283" s="6">
        <v>84.881</v>
      </c>
      <c r="M283" s="6">
        <v>84.881</v>
      </c>
      <c r="N283" s="6">
        <v>84.881</v>
      </c>
      <c r="O283" s="6">
        <v>84.881</v>
      </c>
      <c r="P283" s="6">
        <v>263</v>
      </c>
      <c r="Q283" s="4" t="s">
        <v>26</v>
      </c>
      <c r="R283" s="4">
        <v>0</v>
      </c>
      <c r="S283" s="6">
        <v>0</v>
      </c>
      <c r="T283" s="6">
        <v>28</v>
      </c>
      <c r="U283" s="6">
        <v>76</v>
      </c>
      <c r="V283" s="6">
        <f>IF(ISERROR(VLOOKUP($S$283,'TAR FIN'!$A$1:$O$85,15,0)),0,VLOOKUP($S$283,'TAR FIN'!$A$1:$O$85,15,0))</f>
        <v>0</v>
      </c>
      <c r="W283" s="6">
        <f>IF(ISERROR(VLOOKUP($T$283,'TAR FIN'!$A$1:$O$85,15,0)),0,VLOOKUP($T$283,'TAR FIN'!$A$1:$O$85,15,0))</f>
        <v>609.05999999999995</v>
      </c>
      <c r="X283" s="6">
        <f>IF(ISERROR(VLOOKUP($U$283,'TAR FIN'!$A$1:$O$85,15,0)),0,VLOOKUP($U$283,'TAR FIN'!$A$1:$O$85,15,0))</f>
        <v>119.97</v>
      </c>
      <c r="Y283" s="6"/>
      <c r="Z283" s="6">
        <f ca="1">('TUSD BE'!$AM$48+'TUSD BF'!$AM$48+'TUSD CVA'!$AM$48)*1</f>
        <v>659.71654674120782</v>
      </c>
      <c r="AA283" s="6">
        <f>('TE BE'!$AB$38+'TE BF'!$AB$38+'TE CVA'!$AB$38)*1</f>
        <v>122.58638016056723</v>
      </c>
      <c r="AB283" s="6">
        <f>$K$283*$V$283</f>
        <v>0</v>
      </c>
      <c r="AC283" s="6">
        <f>$M$283*$W$283</f>
        <v>51697.621859999992</v>
      </c>
      <c r="AD283" s="6">
        <f>$O$283*$X$283</f>
        <v>10183.173570000001</v>
      </c>
      <c r="AE283" s="6">
        <f>$K$283*$Y$283</f>
        <v>0</v>
      </c>
      <c r="AF283" s="6">
        <f ca="1">$M$283*$Z$283</f>
        <v>55997.400203940459</v>
      </c>
      <c r="AG283" s="6">
        <f>$O$283*$AA$283</f>
        <v>10405.254534409107</v>
      </c>
    </row>
    <row r="284" spans="1:33" ht="11.25" customHeight="1" x14ac:dyDescent="0.3">
      <c r="A284" s="4" t="s">
        <v>27</v>
      </c>
      <c r="B284" s="4" t="s">
        <v>33</v>
      </c>
      <c r="C284" s="4" t="s">
        <v>23</v>
      </c>
      <c r="D284" s="4" t="s">
        <v>41</v>
      </c>
      <c r="E284" s="4" t="s">
        <v>25</v>
      </c>
      <c r="F284" s="4" t="s">
        <v>25</v>
      </c>
      <c r="G284" s="4" t="s">
        <v>25</v>
      </c>
      <c r="H284" s="4" t="s">
        <v>25</v>
      </c>
      <c r="I284" s="5">
        <v>44713</v>
      </c>
      <c r="J284" s="6">
        <v>0</v>
      </c>
      <c r="K284" s="6">
        <v>0</v>
      </c>
      <c r="L284" s="6">
        <v>-2.4289999999999998</v>
      </c>
      <c r="M284" s="6">
        <v>-2.4289999999999998</v>
      </c>
      <c r="N284" s="6">
        <v>-2.4289999999999998</v>
      </c>
      <c r="O284" s="6">
        <v>-2.4289999999999998</v>
      </c>
      <c r="P284" s="6">
        <v>0</v>
      </c>
      <c r="Q284" s="4" t="s">
        <v>26</v>
      </c>
      <c r="R284" s="4">
        <v>0</v>
      </c>
      <c r="S284" s="6">
        <v>0</v>
      </c>
      <c r="T284" s="6">
        <v>28</v>
      </c>
      <c r="U284" s="6">
        <v>76</v>
      </c>
      <c r="V284" s="6">
        <f>IF(ISERROR(VLOOKUP($S$284,'TAR FIN'!$A$1:$O$85,15,0)),0,VLOOKUP($S$284,'TAR FIN'!$A$1:$O$85,15,0))</f>
        <v>0</v>
      </c>
      <c r="W284" s="6">
        <f>IF(ISERROR(VLOOKUP($T$284,'TAR FIN'!$A$1:$O$85,15,0)),0,VLOOKUP($T$284,'TAR FIN'!$A$1:$O$85,15,0))</f>
        <v>609.05999999999995</v>
      </c>
      <c r="X284" s="6">
        <f>IF(ISERROR(VLOOKUP($U$284,'TAR FIN'!$A$1:$O$85,15,0)),0,VLOOKUP($U$284,'TAR FIN'!$A$1:$O$85,15,0))</f>
        <v>119.97</v>
      </c>
      <c r="Y284" s="6"/>
      <c r="Z284" s="6">
        <f ca="1">('TUSD BE'!$AM$48+'TUSD BF'!$AM$48+'TUSD CVA'!$AM$48)*1</f>
        <v>659.71654674120782</v>
      </c>
      <c r="AA284" s="6">
        <f>('TE BE'!$AB$38+'TE BF'!$AB$38+'TE CVA'!$AB$38)*1</f>
        <v>122.58638016056723</v>
      </c>
      <c r="AB284" s="6">
        <f>$K$284*$V$284</f>
        <v>0</v>
      </c>
      <c r="AC284" s="6">
        <f>$M$284*$W$284</f>
        <v>-1479.4067399999997</v>
      </c>
      <c r="AD284" s="6">
        <f>$O$284*$X$284</f>
        <v>-291.40713</v>
      </c>
      <c r="AE284" s="6">
        <f>$K$284*$Y$284</f>
        <v>0</v>
      </c>
      <c r="AF284" s="6">
        <f ca="1">$M$284*$Z$284</f>
        <v>-1602.4514920343936</v>
      </c>
      <c r="AG284" s="6">
        <f>$O$284*$AA$284</f>
        <v>-297.76231741001777</v>
      </c>
    </row>
    <row r="285" spans="1:33" ht="11.25" customHeight="1" x14ac:dyDescent="0.3">
      <c r="A285" s="4" t="s">
        <v>28</v>
      </c>
      <c r="B285" s="4" t="s">
        <v>33</v>
      </c>
      <c r="C285" s="4" t="s">
        <v>23</v>
      </c>
      <c r="D285" s="4" t="s">
        <v>41</v>
      </c>
      <c r="E285" s="4" t="s">
        <v>25</v>
      </c>
      <c r="F285" s="4" t="s">
        <v>25</v>
      </c>
      <c r="G285" s="4" t="s">
        <v>25</v>
      </c>
      <c r="H285" s="4" t="s">
        <v>25</v>
      </c>
      <c r="I285" s="5">
        <v>44713</v>
      </c>
      <c r="J285" s="6">
        <v>0</v>
      </c>
      <c r="K285" s="6">
        <v>0</v>
      </c>
      <c r="L285" s="6">
        <v>16.899999999999999</v>
      </c>
      <c r="M285" s="6">
        <v>16.899999999999999</v>
      </c>
      <c r="N285" s="6">
        <v>16.899999999999999</v>
      </c>
      <c r="O285" s="6">
        <v>16.899999999999999</v>
      </c>
      <c r="P285" s="6">
        <v>8</v>
      </c>
      <c r="Q285" s="4" t="s">
        <v>26</v>
      </c>
      <c r="R285" s="4">
        <v>0</v>
      </c>
      <c r="S285" s="6">
        <v>0</v>
      </c>
      <c r="T285" s="6">
        <v>28</v>
      </c>
      <c r="U285" s="6">
        <v>76</v>
      </c>
      <c r="V285" s="6">
        <f>IF(ISERROR(VLOOKUP($S$285,'TAR FIN'!$A$1:$O$85,15,0)),0,VLOOKUP($S$285,'TAR FIN'!$A$1:$O$85,15,0))</f>
        <v>0</v>
      </c>
      <c r="W285" s="6">
        <f>IF(ISERROR(VLOOKUP($T$285,'TAR FIN'!$A$1:$O$85,15,0)),0,VLOOKUP($T$285,'TAR FIN'!$A$1:$O$85,15,0))</f>
        <v>609.05999999999995</v>
      </c>
      <c r="X285" s="6">
        <f>IF(ISERROR(VLOOKUP($U$285,'TAR FIN'!$A$1:$O$85,15,0)),0,VLOOKUP($U$285,'TAR FIN'!$A$1:$O$85,15,0))</f>
        <v>119.97</v>
      </c>
      <c r="Y285" s="6"/>
      <c r="Z285" s="6">
        <f ca="1">('TUSD BE'!$AM$48+'TUSD BF'!$AM$48+'TUSD CVA'!$AM$48)*1</f>
        <v>659.71654674120782</v>
      </c>
      <c r="AA285" s="6">
        <f>('TE BE'!$AB$38+'TE BF'!$AB$38+'TE CVA'!$AB$38)*1</f>
        <v>122.58638016056723</v>
      </c>
      <c r="AB285" s="6">
        <f>$K$285*$V$285</f>
        <v>0</v>
      </c>
      <c r="AC285" s="6">
        <f>$M$285*$W$285</f>
        <v>10293.113999999998</v>
      </c>
      <c r="AD285" s="6">
        <f>$O$285*$X$285</f>
        <v>2027.4929999999997</v>
      </c>
      <c r="AE285" s="6">
        <f>$K$285*$Y$285</f>
        <v>0</v>
      </c>
      <c r="AF285" s="6">
        <f ca="1">$M$285*$Z$285</f>
        <v>11149.209639926412</v>
      </c>
      <c r="AG285" s="6">
        <f>$O$285*$AA$285</f>
        <v>2071.7098247135859</v>
      </c>
    </row>
    <row r="286" spans="1:33" ht="11.25" customHeight="1" x14ac:dyDescent="0.3">
      <c r="A286" s="4" t="s">
        <v>21</v>
      </c>
      <c r="B286" s="4" t="s">
        <v>33</v>
      </c>
      <c r="C286" s="4" t="s">
        <v>23</v>
      </c>
      <c r="D286" s="4" t="s">
        <v>41</v>
      </c>
      <c r="E286" s="4" t="s">
        <v>25</v>
      </c>
      <c r="F286" s="4" t="s">
        <v>25</v>
      </c>
      <c r="G286" s="4" t="s">
        <v>25</v>
      </c>
      <c r="H286" s="4" t="s">
        <v>25</v>
      </c>
      <c r="I286" s="5">
        <v>44743</v>
      </c>
      <c r="J286" s="6">
        <v>0</v>
      </c>
      <c r="K286" s="6">
        <v>0</v>
      </c>
      <c r="L286" s="6">
        <v>78.19</v>
      </c>
      <c r="M286" s="6">
        <v>78.19</v>
      </c>
      <c r="N286" s="6">
        <v>78.19</v>
      </c>
      <c r="O286" s="6">
        <v>78.19</v>
      </c>
      <c r="P286" s="6">
        <v>265</v>
      </c>
      <c r="Q286" s="4" t="s">
        <v>26</v>
      </c>
      <c r="R286" s="4">
        <v>0</v>
      </c>
      <c r="S286" s="6">
        <v>0</v>
      </c>
      <c r="T286" s="6">
        <v>28</v>
      </c>
      <c r="U286" s="6">
        <v>76</v>
      </c>
      <c r="V286" s="6">
        <f>IF(ISERROR(VLOOKUP($S$286,'TAR FIN'!$A$1:$O$85,15,0)),0,VLOOKUP($S$286,'TAR FIN'!$A$1:$O$85,15,0))</f>
        <v>0</v>
      </c>
      <c r="W286" s="6">
        <f>IF(ISERROR(VLOOKUP($T$286,'TAR FIN'!$A$1:$O$85,15,0)),0,VLOOKUP($T$286,'TAR FIN'!$A$1:$O$85,15,0))</f>
        <v>609.05999999999995</v>
      </c>
      <c r="X286" s="6">
        <f>IF(ISERROR(VLOOKUP($U$286,'TAR FIN'!$A$1:$O$85,15,0)),0,VLOOKUP($U$286,'TAR FIN'!$A$1:$O$85,15,0))</f>
        <v>119.97</v>
      </c>
      <c r="Y286" s="6"/>
      <c r="Z286" s="6">
        <f ca="1">('TUSD BE'!$AM$48+'TUSD BF'!$AM$48+'TUSD CVA'!$AM$48)*1</f>
        <v>659.71654674120782</v>
      </c>
      <c r="AA286" s="6">
        <f>('TE BE'!$AB$38+'TE BF'!$AB$38+'TE CVA'!$AB$38)*1</f>
        <v>122.58638016056723</v>
      </c>
      <c r="AB286" s="6">
        <f>$K$286*$V$286</f>
        <v>0</v>
      </c>
      <c r="AC286" s="6">
        <f>$M$286*$W$286</f>
        <v>47622.401399999995</v>
      </c>
      <c r="AD286" s="6">
        <f>$O$286*$X$286</f>
        <v>9380.4542999999994</v>
      </c>
      <c r="AE286" s="6">
        <f>$K$286*$Y$286</f>
        <v>0</v>
      </c>
      <c r="AF286" s="6">
        <f ca="1">$M$286*$Z$286</f>
        <v>51583.236789695038</v>
      </c>
      <c r="AG286" s="6">
        <f>$O$286*$AA$286</f>
        <v>9585.0290647547517</v>
      </c>
    </row>
    <row r="287" spans="1:33" ht="11.25" customHeight="1" x14ac:dyDescent="0.3">
      <c r="A287" s="4" t="s">
        <v>28</v>
      </c>
      <c r="B287" s="4" t="s">
        <v>33</v>
      </c>
      <c r="C287" s="4" t="s">
        <v>23</v>
      </c>
      <c r="D287" s="4" t="s">
        <v>41</v>
      </c>
      <c r="E287" s="4" t="s">
        <v>25</v>
      </c>
      <c r="F287" s="4" t="s">
        <v>25</v>
      </c>
      <c r="G287" s="4" t="s">
        <v>25</v>
      </c>
      <c r="H287" s="4" t="s">
        <v>25</v>
      </c>
      <c r="I287" s="5">
        <v>44743</v>
      </c>
      <c r="J287" s="6">
        <v>0</v>
      </c>
      <c r="K287" s="6">
        <v>0</v>
      </c>
      <c r="L287" s="6">
        <v>12.518000000000001</v>
      </c>
      <c r="M287" s="6">
        <v>12.518000000000001</v>
      </c>
      <c r="N287" s="6">
        <v>12.518000000000001</v>
      </c>
      <c r="O287" s="6">
        <v>12.518000000000001</v>
      </c>
      <c r="P287" s="6">
        <v>8</v>
      </c>
      <c r="Q287" s="4" t="s">
        <v>26</v>
      </c>
      <c r="R287" s="4">
        <v>0</v>
      </c>
      <c r="S287" s="6">
        <v>0</v>
      </c>
      <c r="T287" s="6">
        <v>28</v>
      </c>
      <c r="U287" s="6">
        <v>76</v>
      </c>
      <c r="V287" s="6">
        <f>IF(ISERROR(VLOOKUP($S$287,'TAR FIN'!$A$1:$O$85,15,0)),0,VLOOKUP($S$287,'TAR FIN'!$A$1:$O$85,15,0))</f>
        <v>0</v>
      </c>
      <c r="W287" s="6">
        <f>IF(ISERROR(VLOOKUP($T$287,'TAR FIN'!$A$1:$O$85,15,0)),0,VLOOKUP($T$287,'TAR FIN'!$A$1:$O$85,15,0))</f>
        <v>609.05999999999995</v>
      </c>
      <c r="X287" s="6">
        <f>IF(ISERROR(VLOOKUP($U$287,'TAR FIN'!$A$1:$O$85,15,0)),0,VLOOKUP($U$287,'TAR FIN'!$A$1:$O$85,15,0))</f>
        <v>119.97</v>
      </c>
      <c r="Y287" s="6"/>
      <c r="Z287" s="6">
        <f ca="1">('TUSD BE'!$AM$48+'TUSD BF'!$AM$48+'TUSD CVA'!$AM$48)*1</f>
        <v>659.71654674120782</v>
      </c>
      <c r="AA287" s="6">
        <f>('TE BE'!$AB$38+'TE BF'!$AB$38+'TE CVA'!$AB$38)*1</f>
        <v>122.58638016056723</v>
      </c>
      <c r="AB287" s="6">
        <f>$K$287*$V$287</f>
        <v>0</v>
      </c>
      <c r="AC287" s="6">
        <f>$M$287*$W$287</f>
        <v>7624.2130799999995</v>
      </c>
      <c r="AD287" s="6">
        <f>$O$287*$X$287</f>
        <v>1501.7844600000001</v>
      </c>
      <c r="AE287" s="6">
        <f>$K$287*$Y$287</f>
        <v>0</v>
      </c>
      <c r="AF287" s="6">
        <f ca="1">$M$287*$Z$287</f>
        <v>8258.3317321064405</v>
      </c>
      <c r="AG287" s="6">
        <f>$O$287*$AA$287</f>
        <v>1534.5363068499807</v>
      </c>
    </row>
    <row r="288" spans="1:33" ht="11.25" customHeight="1" x14ac:dyDescent="0.3">
      <c r="A288" s="4" t="s">
        <v>52</v>
      </c>
      <c r="B288" s="4" t="s">
        <v>33</v>
      </c>
      <c r="C288" s="4" t="s">
        <v>23</v>
      </c>
      <c r="D288" s="4" t="s">
        <v>41</v>
      </c>
      <c r="E288" s="4" t="s">
        <v>25</v>
      </c>
      <c r="F288" s="4" t="s">
        <v>25</v>
      </c>
      <c r="G288" s="4" t="s">
        <v>25</v>
      </c>
      <c r="H288" s="4" t="s">
        <v>25</v>
      </c>
      <c r="I288" s="5">
        <v>44774</v>
      </c>
      <c r="J288" s="6">
        <v>0</v>
      </c>
      <c r="K288" s="6">
        <v>0</v>
      </c>
      <c r="L288" s="6">
        <v>78.19</v>
      </c>
      <c r="M288" s="6">
        <v>78.19</v>
      </c>
      <c r="N288" s="6">
        <v>78.19</v>
      </c>
      <c r="O288" s="6">
        <v>78.19</v>
      </c>
      <c r="P288" s="6">
        <v>265</v>
      </c>
      <c r="Q288" s="4" t="s">
        <v>26</v>
      </c>
      <c r="R288" s="4">
        <v>0</v>
      </c>
      <c r="S288" s="6">
        <v>0</v>
      </c>
      <c r="T288" s="6">
        <v>28</v>
      </c>
      <c r="U288" s="6">
        <v>76</v>
      </c>
      <c r="V288" s="6">
        <f>IF(ISERROR(VLOOKUP($S$288,'TAR FIN'!$A$1:$O$85,15,0)),0,VLOOKUP($S$288,'TAR FIN'!$A$1:$O$85,15,0))</f>
        <v>0</v>
      </c>
      <c r="W288" s="6">
        <f>IF(ISERROR(VLOOKUP($T$288,'TAR FIN'!$A$1:$O$85,15,0)),0,VLOOKUP($T$288,'TAR FIN'!$A$1:$O$85,15,0))</f>
        <v>609.05999999999995</v>
      </c>
      <c r="X288" s="6">
        <f>IF(ISERROR(VLOOKUP($U$288,'TAR FIN'!$A$1:$O$85,15,0)),0,VLOOKUP($U$288,'TAR FIN'!$A$1:$O$85,15,0))</f>
        <v>119.97</v>
      </c>
      <c r="Y288" s="6"/>
      <c r="Z288" s="6">
        <f ca="1">('TUSD BE'!$AM$48+'TUSD BF'!$AM$48+'TUSD CVA'!$AM$48)*1</f>
        <v>659.71654674120782</v>
      </c>
      <c r="AA288" s="6">
        <f>('TE BE'!$AB$38+'TE BF'!$AB$38+'TE CVA'!$AB$38)*1</f>
        <v>122.58638016056723</v>
      </c>
      <c r="AB288" s="6">
        <f>$K$288*$V$288</f>
        <v>0</v>
      </c>
      <c r="AC288" s="6">
        <f>$M$288*$W$288</f>
        <v>47622.401399999995</v>
      </c>
      <c r="AD288" s="6">
        <f>$O$288*$X$288</f>
        <v>9380.4542999999994</v>
      </c>
      <c r="AE288" s="6">
        <f>$K$288*$Y$288</f>
        <v>0</v>
      </c>
      <c r="AF288" s="6">
        <f ca="1">$M$288*$Z$288</f>
        <v>51583.236789695038</v>
      </c>
      <c r="AG288" s="6">
        <f>$O$288*$AA$288</f>
        <v>9585.0290647547517</v>
      </c>
    </row>
    <row r="289" spans="1:33" ht="11.25" customHeight="1" x14ac:dyDescent="0.3">
      <c r="A289" s="4" t="s">
        <v>52</v>
      </c>
      <c r="B289" s="4" t="s">
        <v>33</v>
      </c>
      <c r="C289" s="4" t="s">
        <v>23</v>
      </c>
      <c r="D289" s="4" t="s">
        <v>41</v>
      </c>
      <c r="E289" s="4" t="s">
        <v>25</v>
      </c>
      <c r="F289" s="4" t="s">
        <v>25</v>
      </c>
      <c r="G289" s="4" t="s">
        <v>25</v>
      </c>
      <c r="H289" s="4" t="s">
        <v>25</v>
      </c>
      <c r="I289" s="5">
        <v>44774</v>
      </c>
      <c r="J289" s="6">
        <v>0</v>
      </c>
      <c r="K289" s="6">
        <v>0</v>
      </c>
      <c r="L289" s="6">
        <v>12.518000000000001</v>
      </c>
      <c r="M289" s="6">
        <v>12.518000000000001</v>
      </c>
      <c r="N289" s="6">
        <v>12.518000000000001</v>
      </c>
      <c r="O289" s="6">
        <v>12.518000000000001</v>
      </c>
      <c r="P289" s="6">
        <v>8</v>
      </c>
      <c r="Q289" s="4" t="s">
        <v>26</v>
      </c>
      <c r="R289" s="4">
        <v>0</v>
      </c>
      <c r="S289" s="6">
        <v>0</v>
      </c>
      <c r="T289" s="6">
        <v>28</v>
      </c>
      <c r="U289" s="6">
        <v>76</v>
      </c>
      <c r="V289" s="6">
        <f>IF(ISERROR(VLOOKUP($S$289,'TAR FIN'!$A$1:$O$85,15,0)),0,VLOOKUP($S$289,'TAR FIN'!$A$1:$O$85,15,0))</f>
        <v>0</v>
      </c>
      <c r="W289" s="6">
        <f>IF(ISERROR(VLOOKUP($T$289,'TAR FIN'!$A$1:$O$85,15,0)),0,VLOOKUP($T$289,'TAR FIN'!$A$1:$O$85,15,0))</f>
        <v>609.05999999999995</v>
      </c>
      <c r="X289" s="6">
        <f>IF(ISERROR(VLOOKUP($U$289,'TAR FIN'!$A$1:$O$85,15,0)),0,VLOOKUP($U$289,'TAR FIN'!$A$1:$O$85,15,0))</f>
        <v>119.97</v>
      </c>
      <c r="Y289" s="6"/>
      <c r="Z289" s="6">
        <f ca="1">('TUSD BE'!$AM$48+'TUSD BF'!$AM$48+'TUSD CVA'!$AM$48)*1</f>
        <v>659.71654674120782</v>
      </c>
      <c r="AA289" s="6">
        <f>('TE BE'!$AB$38+'TE BF'!$AB$38+'TE CVA'!$AB$38)*1</f>
        <v>122.58638016056723</v>
      </c>
      <c r="AB289" s="6">
        <f>$K$289*$V$289</f>
        <v>0</v>
      </c>
      <c r="AC289" s="6">
        <f>$M$289*$W$289</f>
        <v>7624.2130799999995</v>
      </c>
      <c r="AD289" s="6">
        <f>$O$289*$X$289</f>
        <v>1501.7844600000001</v>
      </c>
      <c r="AE289" s="6">
        <f>$K$289*$Y$289</f>
        <v>0</v>
      </c>
      <c r="AF289" s="6">
        <f ca="1">$M$289*$Z$289</f>
        <v>8258.3317321064405</v>
      </c>
      <c r="AG289" s="6">
        <f>$O$289*$AA$289</f>
        <v>1534.5363068499807</v>
      </c>
    </row>
    <row r="290" spans="1:33" ht="11.25" customHeight="1" x14ac:dyDescent="0.3">
      <c r="A290" s="4" t="s">
        <v>21</v>
      </c>
      <c r="B290" s="4" t="s">
        <v>33</v>
      </c>
      <c r="C290" s="4" t="s">
        <v>23</v>
      </c>
      <c r="D290" s="4" t="s">
        <v>51</v>
      </c>
      <c r="E290" s="4" t="s">
        <v>25</v>
      </c>
      <c r="F290" s="4" t="s">
        <v>25</v>
      </c>
      <c r="G290" s="4" t="s">
        <v>25</v>
      </c>
      <c r="H290" s="4" t="s">
        <v>25</v>
      </c>
      <c r="I290" s="5">
        <v>44440</v>
      </c>
      <c r="J290" s="6">
        <v>0</v>
      </c>
      <c r="K290" s="6">
        <v>0</v>
      </c>
      <c r="L290" s="6">
        <v>3.7549999999999999</v>
      </c>
      <c r="M290" s="6">
        <v>3.7549999999999999</v>
      </c>
      <c r="N290" s="6">
        <v>3.7549999999999999</v>
      </c>
      <c r="O290" s="6">
        <v>3.7549999999999999</v>
      </c>
      <c r="P290" s="6">
        <v>4</v>
      </c>
      <c r="Q290" s="4" t="s">
        <v>26</v>
      </c>
      <c r="R290" s="4">
        <v>0</v>
      </c>
      <c r="S290" s="6">
        <v>0</v>
      </c>
      <c r="T290" s="6">
        <v>28</v>
      </c>
      <c r="U290" s="6">
        <v>76</v>
      </c>
      <c r="V290" s="6">
        <f>IF(ISERROR(VLOOKUP($S$290,'TAR FIN'!$A$1:$O$85,15,0)),0,VLOOKUP($S$290,'TAR FIN'!$A$1:$O$85,15,0))</f>
        <v>0</v>
      </c>
      <c r="W290" s="6">
        <f>IF(ISERROR(VLOOKUP($T$290,'TAR FIN'!$A$1:$O$85,15,0)),0,VLOOKUP($T$290,'TAR FIN'!$A$1:$O$85,15,0))</f>
        <v>609.05999999999995</v>
      </c>
      <c r="X290" s="6">
        <f>IF(ISERROR(VLOOKUP($U$290,'TAR FIN'!$A$1:$O$85,15,0)),0,VLOOKUP($U$290,'TAR FIN'!$A$1:$O$85,15,0))</f>
        <v>119.97</v>
      </c>
      <c r="Y290" s="6"/>
      <c r="Z290" s="6">
        <f ca="1">('TUSD BE'!$AM$48+'TUSD BF'!$AM$48+'TUSD CVA'!$AM$48)*1</f>
        <v>659.71654674120782</v>
      </c>
      <c r="AA290" s="6">
        <f>('TE BE'!$AB$38+'TE BF'!$AB$38+'TE CVA'!$AB$38)*1</f>
        <v>122.58638016056723</v>
      </c>
      <c r="AB290" s="6">
        <f>$K$290*$V$290</f>
        <v>0</v>
      </c>
      <c r="AC290" s="6">
        <f>$M$290*$W$290</f>
        <v>2287.0202999999997</v>
      </c>
      <c r="AD290" s="6">
        <f>$O$290*$X$290</f>
        <v>450.48734999999999</v>
      </c>
      <c r="AE290" s="6">
        <f>$K$290*$Y$290</f>
        <v>0</v>
      </c>
      <c r="AF290" s="6">
        <f ca="1">$M$290*$Z$290</f>
        <v>2477.2356330132352</v>
      </c>
      <c r="AG290" s="6">
        <f>$O$290*$AA$290</f>
        <v>460.31185750292991</v>
      </c>
    </row>
    <row r="291" spans="1:33" ht="11.25" customHeight="1" x14ac:dyDescent="0.3">
      <c r="A291" s="4" t="s">
        <v>21</v>
      </c>
      <c r="B291" s="4" t="s">
        <v>33</v>
      </c>
      <c r="C291" s="4" t="s">
        <v>23</v>
      </c>
      <c r="D291" s="4" t="s">
        <v>34</v>
      </c>
      <c r="E291" s="4" t="s">
        <v>25</v>
      </c>
      <c r="F291" s="4" t="s">
        <v>25</v>
      </c>
      <c r="G291" s="4" t="s">
        <v>25</v>
      </c>
      <c r="H291" s="4" t="s">
        <v>25</v>
      </c>
      <c r="I291" s="5">
        <v>44440</v>
      </c>
      <c r="J291" s="6">
        <v>0</v>
      </c>
      <c r="K291" s="6">
        <v>0</v>
      </c>
      <c r="L291" s="6">
        <v>127.378</v>
      </c>
      <c r="M291" s="6">
        <v>127.378</v>
      </c>
      <c r="N291" s="6">
        <v>127.378</v>
      </c>
      <c r="O291" s="6">
        <v>127.378</v>
      </c>
      <c r="P291" s="6">
        <v>70</v>
      </c>
      <c r="Q291" s="4" t="s">
        <v>26</v>
      </c>
      <c r="R291" s="4">
        <v>0</v>
      </c>
      <c r="S291" s="6">
        <v>0</v>
      </c>
      <c r="T291" s="6">
        <v>28</v>
      </c>
      <c r="U291" s="6">
        <v>76</v>
      </c>
      <c r="V291" s="6">
        <f>IF(ISERROR(VLOOKUP($S$291,'TAR FIN'!$A$1:$O$85,15,0)),0,VLOOKUP($S$291,'TAR FIN'!$A$1:$O$85,15,0))</f>
        <v>0</v>
      </c>
      <c r="W291" s="6">
        <f>IF(ISERROR(VLOOKUP($T$291,'TAR FIN'!$A$1:$O$85,15,0)),0,VLOOKUP($T$291,'TAR FIN'!$A$1:$O$85,15,0))</f>
        <v>609.05999999999995</v>
      </c>
      <c r="X291" s="6">
        <f>IF(ISERROR(VLOOKUP($U$291,'TAR FIN'!$A$1:$O$85,15,0)),0,VLOOKUP($U$291,'TAR FIN'!$A$1:$O$85,15,0))</f>
        <v>119.97</v>
      </c>
      <c r="Y291" s="6"/>
      <c r="Z291" s="6">
        <f ca="1">('TUSD BE'!$AM$48+'TUSD BF'!$AM$48+'TUSD CVA'!$AM$48)*1</f>
        <v>659.71654674120782</v>
      </c>
      <c r="AA291" s="6">
        <f>('TE BE'!$AB$38+'TE BF'!$AB$38+'TE CVA'!$AB$38)*1</f>
        <v>122.58638016056723</v>
      </c>
      <c r="AB291" s="6">
        <f>$K$291*$V$291</f>
        <v>0</v>
      </c>
      <c r="AC291" s="6">
        <f>$M$291*$W$291</f>
        <v>77580.844679999995</v>
      </c>
      <c r="AD291" s="6">
        <f>$O$291*$X$291</f>
        <v>15281.53866</v>
      </c>
      <c r="AE291" s="6">
        <f>$K$291*$Y$291</f>
        <v>0</v>
      </c>
      <c r="AF291" s="6">
        <f ca="1">$M$291*$Z$291</f>
        <v>84033.37429080157</v>
      </c>
      <c r="AG291" s="6">
        <f>$O$291*$AA$291</f>
        <v>15614.807932092734</v>
      </c>
    </row>
    <row r="292" spans="1:33" ht="11.25" customHeight="1" x14ac:dyDescent="0.3">
      <c r="A292" s="4" t="s">
        <v>28</v>
      </c>
      <c r="B292" s="4" t="s">
        <v>33</v>
      </c>
      <c r="C292" s="4" t="s">
        <v>23</v>
      </c>
      <c r="D292" s="4" t="s">
        <v>34</v>
      </c>
      <c r="E292" s="4" t="s">
        <v>25</v>
      </c>
      <c r="F292" s="4" t="s">
        <v>25</v>
      </c>
      <c r="G292" s="4" t="s">
        <v>25</v>
      </c>
      <c r="H292" s="4" t="s">
        <v>25</v>
      </c>
      <c r="I292" s="5">
        <v>44440</v>
      </c>
      <c r="J292" s="6">
        <v>0</v>
      </c>
      <c r="K292" s="6">
        <v>0</v>
      </c>
      <c r="L292" s="6">
        <v>9.3699999999999992</v>
      </c>
      <c r="M292" s="6">
        <v>9.3699999999999992</v>
      </c>
      <c r="N292" s="6">
        <v>9.3699999999999992</v>
      </c>
      <c r="O292" s="6">
        <v>9.3699999999999992</v>
      </c>
      <c r="P292" s="6">
        <v>4</v>
      </c>
      <c r="Q292" s="4" t="s">
        <v>26</v>
      </c>
      <c r="R292" s="4">
        <v>0</v>
      </c>
      <c r="S292" s="6">
        <v>0</v>
      </c>
      <c r="T292" s="6">
        <v>28</v>
      </c>
      <c r="U292" s="6">
        <v>76</v>
      </c>
      <c r="V292" s="6">
        <f>IF(ISERROR(VLOOKUP($S$292,'TAR FIN'!$A$1:$O$85,15,0)),0,VLOOKUP($S$292,'TAR FIN'!$A$1:$O$85,15,0))</f>
        <v>0</v>
      </c>
      <c r="W292" s="6">
        <f>IF(ISERROR(VLOOKUP($T$292,'TAR FIN'!$A$1:$O$85,15,0)),0,VLOOKUP($T$292,'TAR FIN'!$A$1:$O$85,15,0))</f>
        <v>609.05999999999995</v>
      </c>
      <c r="X292" s="6">
        <f>IF(ISERROR(VLOOKUP($U$292,'TAR FIN'!$A$1:$O$85,15,0)),0,VLOOKUP($U$292,'TAR FIN'!$A$1:$O$85,15,0))</f>
        <v>119.97</v>
      </c>
      <c r="Y292" s="6"/>
      <c r="Z292" s="6">
        <f ca="1">('TUSD BE'!$AM$48+'TUSD BF'!$AM$48+'TUSD CVA'!$AM$48)*1</f>
        <v>659.71654674120782</v>
      </c>
      <c r="AA292" s="6">
        <f>('TE BE'!$AB$38+'TE BF'!$AB$38+'TE CVA'!$AB$38)*1</f>
        <v>122.58638016056723</v>
      </c>
      <c r="AB292" s="6">
        <f>$K$292*$V$292</f>
        <v>0</v>
      </c>
      <c r="AC292" s="6">
        <f>$M$292*$W$292</f>
        <v>5706.8921999999993</v>
      </c>
      <c r="AD292" s="6">
        <f>$O$292*$X$292</f>
        <v>1124.1188999999999</v>
      </c>
      <c r="AE292" s="6">
        <f>$K$292*$Y$292</f>
        <v>0</v>
      </c>
      <c r="AF292" s="6">
        <f ca="1">$M$292*$Z$292</f>
        <v>6181.5440429651171</v>
      </c>
      <c r="AG292" s="6">
        <f>$O$292*$AA$292</f>
        <v>1148.6343821045148</v>
      </c>
    </row>
    <row r="293" spans="1:33" ht="11.25" customHeight="1" x14ac:dyDescent="0.3">
      <c r="A293" s="4" t="s">
        <v>21</v>
      </c>
      <c r="B293" s="4" t="s">
        <v>33</v>
      </c>
      <c r="C293" s="4" t="s">
        <v>23</v>
      </c>
      <c r="D293" s="4" t="s">
        <v>34</v>
      </c>
      <c r="E293" s="4" t="s">
        <v>25</v>
      </c>
      <c r="F293" s="4" t="s">
        <v>25</v>
      </c>
      <c r="G293" s="4" t="s">
        <v>25</v>
      </c>
      <c r="H293" s="4" t="s">
        <v>25</v>
      </c>
      <c r="I293" s="5">
        <v>44470</v>
      </c>
      <c r="J293" s="6">
        <v>0</v>
      </c>
      <c r="K293" s="6">
        <v>0</v>
      </c>
      <c r="L293" s="6">
        <v>151.34899999999999</v>
      </c>
      <c r="M293" s="6">
        <v>151.34899999999999</v>
      </c>
      <c r="N293" s="6">
        <v>151.34899999999999</v>
      </c>
      <c r="O293" s="6">
        <v>151.34899999999999</v>
      </c>
      <c r="P293" s="6">
        <v>69</v>
      </c>
      <c r="Q293" s="4" t="s">
        <v>26</v>
      </c>
      <c r="R293" s="4">
        <v>0</v>
      </c>
      <c r="S293" s="6">
        <v>0</v>
      </c>
      <c r="T293" s="6">
        <v>28</v>
      </c>
      <c r="U293" s="6">
        <v>76</v>
      </c>
      <c r="V293" s="6">
        <f>IF(ISERROR(VLOOKUP($S$293,'TAR FIN'!$A$1:$O$85,15,0)),0,VLOOKUP($S$293,'TAR FIN'!$A$1:$O$85,15,0))</f>
        <v>0</v>
      </c>
      <c r="W293" s="6">
        <f>IF(ISERROR(VLOOKUP($T$293,'TAR FIN'!$A$1:$O$85,15,0)),0,VLOOKUP($T$293,'TAR FIN'!$A$1:$O$85,15,0))</f>
        <v>609.05999999999995</v>
      </c>
      <c r="X293" s="6">
        <f>IF(ISERROR(VLOOKUP($U$293,'TAR FIN'!$A$1:$O$85,15,0)),0,VLOOKUP($U$293,'TAR FIN'!$A$1:$O$85,15,0))</f>
        <v>119.97</v>
      </c>
      <c r="Y293" s="6"/>
      <c r="Z293" s="6">
        <f ca="1">('TUSD BE'!$AM$48+'TUSD BF'!$AM$48+'TUSD CVA'!$AM$48)*1</f>
        <v>659.71654674120782</v>
      </c>
      <c r="AA293" s="6">
        <f>('TE BE'!$AB$38+'TE BF'!$AB$38+'TE CVA'!$AB$38)*1</f>
        <v>122.58638016056723</v>
      </c>
      <c r="AB293" s="6">
        <f>$K$293*$V$293</f>
        <v>0</v>
      </c>
      <c r="AC293" s="6">
        <f>$M$293*$W$293</f>
        <v>92180.621939999983</v>
      </c>
      <c r="AD293" s="6">
        <f>$O$293*$X$293</f>
        <v>18157.339529999997</v>
      </c>
      <c r="AE293" s="6">
        <f>$K$293*$Y$293</f>
        <v>0</v>
      </c>
      <c r="AF293" s="6">
        <f ca="1">$M$293*$Z$293</f>
        <v>99847.439632735055</v>
      </c>
      <c r="AG293" s="6">
        <f>$O$293*$AA$293</f>
        <v>18553.326050921689</v>
      </c>
    </row>
    <row r="294" spans="1:33" ht="11.25" customHeight="1" x14ac:dyDescent="0.3">
      <c r="A294" s="4" t="s">
        <v>28</v>
      </c>
      <c r="B294" s="4" t="s">
        <v>33</v>
      </c>
      <c r="C294" s="4" t="s">
        <v>23</v>
      </c>
      <c r="D294" s="4" t="s">
        <v>34</v>
      </c>
      <c r="E294" s="4" t="s">
        <v>25</v>
      </c>
      <c r="F294" s="4" t="s">
        <v>25</v>
      </c>
      <c r="G294" s="4" t="s">
        <v>25</v>
      </c>
      <c r="H294" s="4" t="s">
        <v>25</v>
      </c>
      <c r="I294" s="5">
        <v>44470</v>
      </c>
      <c r="J294" s="6">
        <v>0</v>
      </c>
      <c r="K294" s="6">
        <v>0</v>
      </c>
      <c r="L294" s="6">
        <v>7.5279999999999996</v>
      </c>
      <c r="M294" s="6">
        <v>7.5279999999999996</v>
      </c>
      <c r="N294" s="6">
        <v>7.5279999999999996</v>
      </c>
      <c r="O294" s="6">
        <v>7.5279999999999996</v>
      </c>
      <c r="P294" s="6">
        <v>4</v>
      </c>
      <c r="Q294" s="4" t="s">
        <v>26</v>
      </c>
      <c r="R294" s="4">
        <v>0</v>
      </c>
      <c r="S294" s="6">
        <v>0</v>
      </c>
      <c r="T294" s="6">
        <v>28</v>
      </c>
      <c r="U294" s="6">
        <v>76</v>
      </c>
      <c r="V294" s="6">
        <f>IF(ISERROR(VLOOKUP($S$294,'TAR FIN'!$A$1:$O$85,15,0)),0,VLOOKUP($S$294,'TAR FIN'!$A$1:$O$85,15,0))</f>
        <v>0</v>
      </c>
      <c r="W294" s="6">
        <f>IF(ISERROR(VLOOKUP($T$294,'TAR FIN'!$A$1:$O$85,15,0)),0,VLOOKUP($T$294,'TAR FIN'!$A$1:$O$85,15,0))</f>
        <v>609.05999999999995</v>
      </c>
      <c r="X294" s="6">
        <f>IF(ISERROR(VLOOKUP($U$294,'TAR FIN'!$A$1:$O$85,15,0)),0,VLOOKUP($U$294,'TAR FIN'!$A$1:$O$85,15,0))</f>
        <v>119.97</v>
      </c>
      <c r="Y294" s="6"/>
      <c r="Z294" s="6">
        <f ca="1">('TUSD BE'!$AM$48+'TUSD BF'!$AM$48+'TUSD CVA'!$AM$48)*1</f>
        <v>659.71654674120782</v>
      </c>
      <c r="AA294" s="6">
        <f>('TE BE'!$AB$38+'TE BF'!$AB$38+'TE CVA'!$AB$38)*1</f>
        <v>122.58638016056723</v>
      </c>
      <c r="AB294" s="6">
        <f>$K$294*$V$294</f>
        <v>0</v>
      </c>
      <c r="AC294" s="6">
        <f>$M$294*$W$294</f>
        <v>4585.0036799999989</v>
      </c>
      <c r="AD294" s="6">
        <f>$O$294*$X$294</f>
        <v>903.13415999999995</v>
      </c>
      <c r="AE294" s="6">
        <f>$K$294*$Y$294</f>
        <v>0</v>
      </c>
      <c r="AF294" s="6">
        <f ca="1">$M$294*$Z$294</f>
        <v>4966.3461638678118</v>
      </c>
      <c r="AG294" s="6">
        <f>$O$294*$AA$294</f>
        <v>922.83026984875005</v>
      </c>
    </row>
    <row r="295" spans="1:33" ht="11.25" customHeight="1" x14ac:dyDescent="0.3">
      <c r="A295" s="4" t="s">
        <v>21</v>
      </c>
      <c r="B295" s="4" t="s">
        <v>33</v>
      </c>
      <c r="C295" s="4" t="s">
        <v>23</v>
      </c>
      <c r="D295" s="4" t="s">
        <v>34</v>
      </c>
      <c r="E295" s="4" t="s">
        <v>25</v>
      </c>
      <c r="F295" s="4" t="s">
        <v>25</v>
      </c>
      <c r="G295" s="4" t="s">
        <v>25</v>
      </c>
      <c r="H295" s="4" t="s">
        <v>25</v>
      </c>
      <c r="I295" s="5">
        <v>44501</v>
      </c>
      <c r="J295" s="6">
        <v>0</v>
      </c>
      <c r="K295" s="6">
        <v>0</v>
      </c>
      <c r="L295" s="6">
        <v>132.26499999999999</v>
      </c>
      <c r="M295" s="6">
        <v>132.26499999999999</v>
      </c>
      <c r="N295" s="6">
        <v>132.26499999999999</v>
      </c>
      <c r="O295" s="6">
        <v>132.26499999999999</v>
      </c>
      <c r="P295" s="6">
        <v>68</v>
      </c>
      <c r="Q295" s="4" t="s">
        <v>26</v>
      </c>
      <c r="R295" s="4">
        <v>0</v>
      </c>
      <c r="S295" s="6">
        <v>0</v>
      </c>
      <c r="T295" s="6">
        <v>28</v>
      </c>
      <c r="U295" s="6">
        <v>76</v>
      </c>
      <c r="V295" s="6">
        <f>IF(ISERROR(VLOOKUP($S$295,'TAR FIN'!$A$1:$O$85,15,0)),0,VLOOKUP($S$295,'TAR FIN'!$A$1:$O$85,15,0))</f>
        <v>0</v>
      </c>
      <c r="W295" s="6">
        <f>IF(ISERROR(VLOOKUP($T$295,'TAR FIN'!$A$1:$O$85,15,0)),0,VLOOKUP($T$295,'TAR FIN'!$A$1:$O$85,15,0))</f>
        <v>609.05999999999995</v>
      </c>
      <c r="X295" s="6">
        <f>IF(ISERROR(VLOOKUP($U$295,'TAR FIN'!$A$1:$O$85,15,0)),0,VLOOKUP($U$295,'TAR FIN'!$A$1:$O$85,15,0))</f>
        <v>119.97</v>
      </c>
      <c r="Y295" s="6"/>
      <c r="Z295" s="6">
        <f ca="1">('TUSD BE'!$AM$48+'TUSD BF'!$AM$48+'TUSD CVA'!$AM$48)*1</f>
        <v>659.71654674120782</v>
      </c>
      <c r="AA295" s="6">
        <f>('TE BE'!$AB$38+'TE BF'!$AB$38+'TE CVA'!$AB$38)*1</f>
        <v>122.58638016056723</v>
      </c>
      <c r="AB295" s="6">
        <f>$K$295*$V$295</f>
        <v>0</v>
      </c>
      <c r="AC295" s="6">
        <f>$M$295*$W$295</f>
        <v>80557.320899999992</v>
      </c>
      <c r="AD295" s="6">
        <f>$O$295*$X$295</f>
        <v>15867.832049999999</v>
      </c>
      <c r="AE295" s="6">
        <f>$K$295*$Y$295</f>
        <v>0</v>
      </c>
      <c r="AF295" s="6">
        <f ca="1">$M$295*$Z$295</f>
        <v>87257.409054725838</v>
      </c>
      <c r="AG295" s="6">
        <f>$O$295*$AA$295</f>
        <v>16213.887571937423</v>
      </c>
    </row>
    <row r="296" spans="1:33" ht="11.25" customHeight="1" x14ac:dyDescent="0.3">
      <c r="A296" s="4" t="s">
        <v>21</v>
      </c>
      <c r="B296" s="4" t="s">
        <v>33</v>
      </c>
      <c r="C296" s="4" t="s">
        <v>23</v>
      </c>
      <c r="D296" s="4" t="s">
        <v>34</v>
      </c>
      <c r="E296" s="4" t="s">
        <v>25</v>
      </c>
      <c r="F296" s="4" t="s">
        <v>25</v>
      </c>
      <c r="G296" s="4" t="s">
        <v>25</v>
      </c>
      <c r="H296" s="4" t="s">
        <v>25</v>
      </c>
      <c r="I296" s="5">
        <v>44531</v>
      </c>
      <c r="J296" s="6">
        <v>0</v>
      </c>
      <c r="K296" s="6">
        <v>0</v>
      </c>
      <c r="L296" s="6">
        <v>118.005</v>
      </c>
      <c r="M296" s="6">
        <v>118.005</v>
      </c>
      <c r="N296" s="6">
        <v>118.005</v>
      </c>
      <c r="O296" s="6">
        <v>118.005</v>
      </c>
      <c r="P296" s="6">
        <v>65</v>
      </c>
      <c r="Q296" s="4" t="s">
        <v>26</v>
      </c>
      <c r="R296" s="4">
        <v>0</v>
      </c>
      <c r="S296" s="6">
        <v>0</v>
      </c>
      <c r="T296" s="6">
        <v>28</v>
      </c>
      <c r="U296" s="6">
        <v>76</v>
      </c>
      <c r="V296" s="6">
        <f>IF(ISERROR(VLOOKUP($S$296,'TAR FIN'!$A$1:$O$85,15,0)),0,VLOOKUP($S$296,'TAR FIN'!$A$1:$O$85,15,0))</f>
        <v>0</v>
      </c>
      <c r="W296" s="6">
        <f>IF(ISERROR(VLOOKUP($T$296,'TAR FIN'!$A$1:$O$85,15,0)),0,VLOOKUP($T$296,'TAR FIN'!$A$1:$O$85,15,0))</f>
        <v>609.05999999999995</v>
      </c>
      <c r="X296" s="6">
        <f>IF(ISERROR(VLOOKUP($U$296,'TAR FIN'!$A$1:$O$85,15,0)),0,VLOOKUP($U$296,'TAR FIN'!$A$1:$O$85,15,0))</f>
        <v>119.97</v>
      </c>
      <c r="Y296" s="6"/>
      <c r="Z296" s="6">
        <f ca="1">('TUSD BE'!$AM$48+'TUSD BF'!$AM$48+'TUSD CVA'!$AM$48)*1</f>
        <v>659.71654674120782</v>
      </c>
      <c r="AA296" s="6">
        <f>('TE BE'!$AB$38+'TE BF'!$AB$38+'TE CVA'!$AB$38)*1</f>
        <v>122.58638016056723</v>
      </c>
      <c r="AB296" s="6">
        <f>$K$296*$V$296</f>
        <v>0</v>
      </c>
      <c r="AC296" s="6">
        <f>$M$296*$W$296</f>
        <v>71872.125299999985</v>
      </c>
      <c r="AD296" s="6">
        <f>$O$296*$X$296</f>
        <v>14157.05985</v>
      </c>
      <c r="AE296" s="6">
        <f>$K$296*$Y$296</f>
        <v>0</v>
      </c>
      <c r="AF296" s="6">
        <f ca="1">$M$296*$Z$296</f>
        <v>77849.851098196232</v>
      </c>
      <c r="AG296" s="6">
        <f>$O$296*$AA$296</f>
        <v>14465.805790847735</v>
      </c>
    </row>
    <row r="297" spans="1:33" ht="11.25" customHeight="1" x14ac:dyDescent="0.3">
      <c r="A297" s="4" t="s">
        <v>28</v>
      </c>
      <c r="B297" s="4" t="s">
        <v>33</v>
      </c>
      <c r="C297" s="4" t="s">
        <v>23</v>
      </c>
      <c r="D297" s="4" t="s">
        <v>34</v>
      </c>
      <c r="E297" s="4" t="s">
        <v>25</v>
      </c>
      <c r="F297" s="4" t="s">
        <v>25</v>
      </c>
      <c r="G297" s="4" t="s">
        <v>25</v>
      </c>
      <c r="H297" s="4" t="s">
        <v>25</v>
      </c>
      <c r="I297" s="5">
        <v>44531</v>
      </c>
      <c r="J297" s="6">
        <v>0</v>
      </c>
      <c r="K297" s="6">
        <v>0</v>
      </c>
      <c r="L297" s="6">
        <v>0.2</v>
      </c>
      <c r="M297" s="6">
        <v>0.2</v>
      </c>
      <c r="N297" s="6">
        <v>0.2</v>
      </c>
      <c r="O297" s="6">
        <v>0.2</v>
      </c>
      <c r="P297" s="6">
        <v>2</v>
      </c>
      <c r="Q297" s="4" t="s">
        <v>26</v>
      </c>
      <c r="R297" s="4">
        <v>0</v>
      </c>
      <c r="S297" s="6">
        <v>0</v>
      </c>
      <c r="T297" s="6">
        <v>28</v>
      </c>
      <c r="U297" s="6">
        <v>76</v>
      </c>
      <c r="V297" s="6">
        <f>IF(ISERROR(VLOOKUP($S$297,'TAR FIN'!$A$1:$O$85,15,0)),0,VLOOKUP($S$297,'TAR FIN'!$A$1:$O$85,15,0))</f>
        <v>0</v>
      </c>
      <c r="W297" s="6">
        <f>IF(ISERROR(VLOOKUP($T$297,'TAR FIN'!$A$1:$O$85,15,0)),0,VLOOKUP($T$297,'TAR FIN'!$A$1:$O$85,15,0))</f>
        <v>609.05999999999995</v>
      </c>
      <c r="X297" s="6">
        <f>IF(ISERROR(VLOOKUP($U$297,'TAR FIN'!$A$1:$O$85,15,0)),0,VLOOKUP($U$297,'TAR FIN'!$A$1:$O$85,15,0))</f>
        <v>119.97</v>
      </c>
      <c r="Y297" s="6"/>
      <c r="Z297" s="6">
        <f ca="1">('TUSD BE'!$AM$48+'TUSD BF'!$AM$48+'TUSD CVA'!$AM$48)*1</f>
        <v>659.71654674120782</v>
      </c>
      <c r="AA297" s="6">
        <f>('TE BE'!$AB$38+'TE BF'!$AB$38+'TE CVA'!$AB$38)*1</f>
        <v>122.58638016056723</v>
      </c>
      <c r="AB297" s="6">
        <f>$K$297*$V$297</f>
        <v>0</v>
      </c>
      <c r="AC297" s="6">
        <f>$M$297*$W$297</f>
        <v>121.812</v>
      </c>
      <c r="AD297" s="6">
        <f>$O$297*$X$297</f>
        <v>23.994</v>
      </c>
      <c r="AE297" s="6">
        <f>$K$297*$Y$297</f>
        <v>0</v>
      </c>
      <c r="AF297" s="6">
        <f ca="1">$M$297*$Z$297</f>
        <v>131.94330934824157</v>
      </c>
      <c r="AG297" s="6">
        <f>$O$297*$AA$297</f>
        <v>24.517276032113447</v>
      </c>
    </row>
    <row r="298" spans="1:33" ht="11.25" customHeight="1" x14ac:dyDescent="0.3">
      <c r="A298" s="4" t="s">
        <v>21</v>
      </c>
      <c r="B298" s="4" t="s">
        <v>33</v>
      </c>
      <c r="C298" s="4" t="s">
        <v>23</v>
      </c>
      <c r="D298" s="4" t="s">
        <v>34</v>
      </c>
      <c r="E298" s="4" t="s">
        <v>25</v>
      </c>
      <c r="F298" s="4" t="s">
        <v>25</v>
      </c>
      <c r="G298" s="4" t="s">
        <v>25</v>
      </c>
      <c r="H298" s="4" t="s">
        <v>25</v>
      </c>
      <c r="I298" s="5">
        <v>44562</v>
      </c>
      <c r="J298" s="6">
        <v>0</v>
      </c>
      <c r="K298" s="6">
        <v>0</v>
      </c>
      <c r="L298" s="6">
        <v>97.156999999999996</v>
      </c>
      <c r="M298" s="6">
        <v>97.156999999999996</v>
      </c>
      <c r="N298" s="6">
        <v>97.156999999999996</v>
      </c>
      <c r="O298" s="6">
        <v>97.156999999999996</v>
      </c>
      <c r="P298" s="6">
        <v>65</v>
      </c>
      <c r="Q298" s="4" t="s">
        <v>26</v>
      </c>
      <c r="R298" s="4">
        <v>0</v>
      </c>
      <c r="S298" s="6">
        <v>0</v>
      </c>
      <c r="T298" s="6">
        <v>28</v>
      </c>
      <c r="U298" s="6">
        <v>76</v>
      </c>
      <c r="V298" s="6">
        <f>IF(ISERROR(VLOOKUP($S$298,'TAR FIN'!$A$1:$O$85,15,0)),0,VLOOKUP($S$298,'TAR FIN'!$A$1:$O$85,15,0))</f>
        <v>0</v>
      </c>
      <c r="W298" s="6">
        <f>IF(ISERROR(VLOOKUP($T$298,'TAR FIN'!$A$1:$O$85,15,0)),0,VLOOKUP($T$298,'TAR FIN'!$A$1:$O$85,15,0))</f>
        <v>609.05999999999995</v>
      </c>
      <c r="X298" s="6">
        <f>IF(ISERROR(VLOOKUP($U$298,'TAR FIN'!$A$1:$O$85,15,0)),0,VLOOKUP($U$298,'TAR FIN'!$A$1:$O$85,15,0))</f>
        <v>119.97</v>
      </c>
      <c r="Y298" s="6"/>
      <c r="Z298" s="6">
        <f ca="1">('TUSD BE'!$AM$48+'TUSD BF'!$AM$48+'TUSD CVA'!$AM$48)*1</f>
        <v>659.71654674120782</v>
      </c>
      <c r="AA298" s="6">
        <f>('TE BE'!$AB$38+'TE BF'!$AB$38+'TE CVA'!$AB$38)*1</f>
        <v>122.58638016056723</v>
      </c>
      <c r="AB298" s="6">
        <f>$K$298*$V$298</f>
        <v>0</v>
      </c>
      <c r="AC298" s="6">
        <f>$M$298*$W$298</f>
        <v>59174.442419999992</v>
      </c>
      <c r="AD298" s="6">
        <f>$O$298*$X$298</f>
        <v>11655.925289999999</v>
      </c>
      <c r="AE298" s="6">
        <f>$K$298*$Y$298</f>
        <v>0</v>
      </c>
      <c r="AF298" s="6">
        <f ca="1">$M$298*$Z$298</f>
        <v>64096.080531735526</v>
      </c>
      <c r="AG298" s="6">
        <f>$O$298*$AA$298</f>
        <v>11910.124937260231</v>
      </c>
    </row>
    <row r="299" spans="1:33" ht="11.25" customHeight="1" x14ac:dyDescent="0.3">
      <c r="A299" s="4" t="s">
        <v>28</v>
      </c>
      <c r="B299" s="4" t="s">
        <v>33</v>
      </c>
      <c r="C299" s="4" t="s">
        <v>23</v>
      </c>
      <c r="D299" s="4" t="s">
        <v>34</v>
      </c>
      <c r="E299" s="4" t="s">
        <v>25</v>
      </c>
      <c r="F299" s="4" t="s">
        <v>25</v>
      </c>
      <c r="G299" s="4" t="s">
        <v>25</v>
      </c>
      <c r="H299" s="4" t="s">
        <v>25</v>
      </c>
      <c r="I299" s="5">
        <v>44562</v>
      </c>
      <c r="J299" s="6">
        <v>0</v>
      </c>
      <c r="K299" s="6">
        <v>0</v>
      </c>
      <c r="L299" s="6">
        <v>0.2</v>
      </c>
      <c r="M299" s="6">
        <v>0.2</v>
      </c>
      <c r="N299" s="6">
        <v>0.2</v>
      </c>
      <c r="O299" s="6">
        <v>0.2</v>
      </c>
      <c r="P299" s="6">
        <v>2</v>
      </c>
      <c r="Q299" s="4" t="s">
        <v>26</v>
      </c>
      <c r="R299" s="4">
        <v>0</v>
      </c>
      <c r="S299" s="6">
        <v>0</v>
      </c>
      <c r="T299" s="6">
        <v>28</v>
      </c>
      <c r="U299" s="6">
        <v>76</v>
      </c>
      <c r="V299" s="6">
        <f>IF(ISERROR(VLOOKUP($S$299,'TAR FIN'!$A$1:$O$85,15,0)),0,VLOOKUP($S$299,'TAR FIN'!$A$1:$O$85,15,0))</f>
        <v>0</v>
      </c>
      <c r="W299" s="6">
        <f>IF(ISERROR(VLOOKUP($T$299,'TAR FIN'!$A$1:$O$85,15,0)),0,VLOOKUP($T$299,'TAR FIN'!$A$1:$O$85,15,0))</f>
        <v>609.05999999999995</v>
      </c>
      <c r="X299" s="6">
        <f>IF(ISERROR(VLOOKUP($U$299,'TAR FIN'!$A$1:$O$85,15,0)),0,VLOOKUP($U$299,'TAR FIN'!$A$1:$O$85,15,0))</f>
        <v>119.97</v>
      </c>
      <c r="Y299" s="6"/>
      <c r="Z299" s="6">
        <f ca="1">('TUSD BE'!$AM$48+'TUSD BF'!$AM$48+'TUSD CVA'!$AM$48)*1</f>
        <v>659.71654674120782</v>
      </c>
      <c r="AA299" s="6">
        <f>('TE BE'!$AB$38+'TE BF'!$AB$38+'TE CVA'!$AB$38)*1</f>
        <v>122.58638016056723</v>
      </c>
      <c r="AB299" s="6">
        <f>$K$299*$V$299</f>
        <v>0</v>
      </c>
      <c r="AC299" s="6">
        <f>$M$299*$W$299</f>
        <v>121.812</v>
      </c>
      <c r="AD299" s="6">
        <f>$O$299*$X$299</f>
        <v>23.994</v>
      </c>
      <c r="AE299" s="6">
        <f>$K$299*$Y$299</f>
        <v>0</v>
      </c>
      <c r="AF299" s="6">
        <f ca="1">$M$299*$Z$299</f>
        <v>131.94330934824157</v>
      </c>
      <c r="AG299" s="6">
        <f>$O$299*$AA$299</f>
        <v>24.517276032113447</v>
      </c>
    </row>
    <row r="300" spans="1:33" ht="11.25" customHeight="1" x14ac:dyDescent="0.3">
      <c r="A300" s="4" t="s">
        <v>21</v>
      </c>
      <c r="B300" s="4" t="s">
        <v>33</v>
      </c>
      <c r="C300" s="4" t="s">
        <v>23</v>
      </c>
      <c r="D300" s="4" t="s">
        <v>34</v>
      </c>
      <c r="E300" s="4" t="s">
        <v>25</v>
      </c>
      <c r="F300" s="4" t="s">
        <v>25</v>
      </c>
      <c r="G300" s="4" t="s">
        <v>25</v>
      </c>
      <c r="H300" s="4" t="s">
        <v>25</v>
      </c>
      <c r="I300" s="5">
        <v>44593</v>
      </c>
      <c r="J300" s="6">
        <v>0</v>
      </c>
      <c r="K300" s="6">
        <v>0</v>
      </c>
      <c r="L300" s="6">
        <v>141.63800000000001</v>
      </c>
      <c r="M300" s="6">
        <v>141.63800000000001</v>
      </c>
      <c r="N300" s="6">
        <v>141.63800000000001</v>
      </c>
      <c r="O300" s="6">
        <v>141.63800000000001</v>
      </c>
      <c r="P300" s="6">
        <v>66</v>
      </c>
      <c r="Q300" s="4" t="s">
        <v>26</v>
      </c>
      <c r="R300" s="4">
        <v>0</v>
      </c>
      <c r="S300" s="6">
        <v>0</v>
      </c>
      <c r="T300" s="6">
        <v>28</v>
      </c>
      <c r="U300" s="6">
        <v>76</v>
      </c>
      <c r="V300" s="6">
        <f>IF(ISERROR(VLOOKUP($S$300,'TAR FIN'!$A$1:$O$85,15,0)),0,VLOOKUP($S$300,'TAR FIN'!$A$1:$O$85,15,0))</f>
        <v>0</v>
      </c>
      <c r="W300" s="6">
        <f>IF(ISERROR(VLOOKUP($T$300,'TAR FIN'!$A$1:$O$85,15,0)),0,VLOOKUP($T$300,'TAR FIN'!$A$1:$O$85,15,0))</f>
        <v>609.05999999999995</v>
      </c>
      <c r="X300" s="6">
        <f>IF(ISERROR(VLOOKUP($U$300,'TAR FIN'!$A$1:$O$85,15,0)),0,VLOOKUP($U$300,'TAR FIN'!$A$1:$O$85,15,0))</f>
        <v>119.97</v>
      </c>
      <c r="Y300" s="6"/>
      <c r="Z300" s="6">
        <f ca="1">('TUSD BE'!$AM$48+'TUSD BF'!$AM$48+'TUSD CVA'!$AM$48)*1</f>
        <v>659.71654674120782</v>
      </c>
      <c r="AA300" s="6">
        <f>('TE BE'!$AB$38+'TE BF'!$AB$38+'TE CVA'!$AB$38)*1</f>
        <v>122.58638016056723</v>
      </c>
      <c r="AB300" s="6">
        <f>$K$300*$V$300</f>
        <v>0</v>
      </c>
      <c r="AC300" s="6">
        <f>$M$300*$W$300</f>
        <v>86266.040280000001</v>
      </c>
      <c r="AD300" s="6">
        <f>$O$300*$X$300</f>
        <v>16992.310860000001</v>
      </c>
      <c r="AE300" s="6">
        <f>$K$300*$Y$300</f>
        <v>0</v>
      </c>
      <c r="AF300" s="6">
        <f ca="1">$M$300*$Z$300</f>
        <v>93440.932247331191</v>
      </c>
      <c r="AG300" s="6">
        <f>$O$300*$AA$300</f>
        <v>17362.889713182423</v>
      </c>
    </row>
    <row r="301" spans="1:33" ht="11.25" customHeight="1" x14ac:dyDescent="0.3">
      <c r="A301" s="4" t="s">
        <v>28</v>
      </c>
      <c r="B301" s="4" t="s">
        <v>33</v>
      </c>
      <c r="C301" s="4" t="s">
        <v>23</v>
      </c>
      <c r="D301" s="4" t="s">
        <v>34</v>
      </c>
      <c r="E301" s="4" t="s">
        <v>25</v>
      </c>
      <c r="F301" s="4" t="s">
        <v>25</v>
      </c>
      <c r="G301" s="4" t="s">
        <v>25</v>
      </c>
      <c r="H301" s="4" t="s">
        <v>25</v>
      </c>
      <c r="I301" s="5">
        <v>44593</v>
      </c>
      <c r="J301" s="6">
        <v>0</v>
      </c>
      <c r="K301" s="6">
        <v>0</v>
      </c>
      <c r="L301" s="6">
        <v>0.2</v>
      </c>
      <c r="M301" s="6">
        <v>0.2</v>
      </c>
      <c r="N301" s="6">
        <v>0.2</v>
      </c>
      <c r="O301" s="6">
        <v>0.2</v>
      </c>
      <c r="P301" s="6">
        <v>2</v>
      </c>
      <c r="Q301" s="4" t="s">
        <v>26</v>
      </c>
      <c r="R301" s="4">
        <v>0</v>
      </c>
      <c r="S301" s="6">
        <v>0</v>
      </c>
      <c r="T301" s="6">
        <v>28</v>
      </c>
      <c r="U301" s="6">
        <v>76</v>
      </c>
      <c r="V301" s="6">
        <f>IF(ISERROR(VLOOKUP($S$301,'TAR FIN'!$A$1:$O$85,15,0)),0,VLOOKUP($S$301,'TAR FIN'!$A$1:$O$85,15,0))</f>
        <v>0</v>
      </c>
      <c r="W301" s="6">
        <f>IF(ISERROR(VLOOKUP($T$301,'TAR FIN'!$A$1:$O$85,15,0)),0,VLOOKUP($T$301,'TAR FIN'!$A$1:$O$85,15,0))</f>
        <v>609.05999999999995</v>
      </c>
      <c r="X301" s="6">
        <f>IF(ISERROR(VLOOKUP($U$301,'TAR FIN'!$A$1:$O$85,15,0)),0,VLOOKUP($U$301,'TAR FIN'!$A$1:$O$85,15,0))</f>
        <v>119.97</v>
      </c>
      <c r="Y301" s="6"/>
      <c r="Z301" s="6">
        <f ca="1">('TUSD BE'!$AM$48+'TUSD BF'!$AM$48+'TUSD CVA'!$AM$48)*1</f>
        <v>659.71654674120782</v>
      </c>
      <c r="AA301" s="6">
        <f>('TE BE'!$AB$38+'TE BF'!$AB$38+'TE CVA'!$AB$38)*1</f>
        <v>122.58638016056723</v>
      </c>
      <c r="AB301" s="6">
        <f>$K$301*$V$301</f>
        <v>0</v>
      </c>
      <c r="AC301" s="6">
        <f>$M$301*$W$301</f>
        <v>121.812</v>
      </c>
      <c r="AD301" s="6">
        <f>$O$301*$X$301</f>
        <v>23.994</v>
      </c>
      <c r="AE301" s="6">
        <f>$K$301*$Y$301</f>
        <v>0</v>
      </c>
      <c r="AF301" s="6">
        <f ca="1">$M$301*$Z$301</f>
        <v>131.94330934824157</v>
      </c>
      <c r="AG301" s="6">
        <f>$O$301*$AA$301</f>
        <v>24.517276032113447</v>
      </c>
    </row>
    <row r="302" spans="1:33" ht="11.25" customHeight="1" x14ac:dyDescent="0.3">
      <c r="A302" s="4" t="s">
        <v>21</v>
      </c>
      <c r="B302" s="4" t="s">
        <v>33</v>
      </c>
      <c r="C302" s="4" t="s">
        <v>23</v>
      </c>
      <c r="D302" s="4" t="s">
        <v>34</v>
      </c>
      <c r="E302" s="4" t="s">
        <v>25</v>
      </c>
      <c r="F302" s="4" t="s">
        <v>25</v>
      </c>
      <c r="G302" s="4" t="s">
        <v>25</v>
      </c>
      <c r="H302" s="4" t="s">
        <v>25</v>
      </c>
      <c r="I302" s="5">
        <v>44621</v>
      </c>
      <c r="J302" s="6">
        <v>0</v>
      </c>
      <c r="K302" s="6">
        <v>0</v>
      </c>
      <c r="L302" s="6">
        <v>128.958</v>
      </c>
      <c r="M302" s="6">
        <v>128.958</v>
      </c>
      <c r="N302" s="6">
        <v>128.958</v>
      </c>
      <c r="O302" s="6">
        <v>128.958</v>
      </c>
      <c r="P302" s="6">
        <v>67</v>
      </c>
      <c r="Q302" s="4" t="s">
        <v>26</v>
      </c>
      <c r="R302" s="4">
        <v>0</v>
      </c>
      <c r="S302" s="6">
        <v>0</v>
      </c>
      <c r="T302" s="6">
        <v>28</v>
      </c>
      <c r="U302" s="6">
        <v>76</v>
      </c>
      <c r="V302" s="6">
        <f>IF(ISERROR(VLOOKUP($S$302,'TAR FIN'!$A$1:$O$85,15,0)),0,VLOOKUP($S$302,'TAR FIN'!$A$1:$O$85,15,0))</f>
        <v>0</v>
      </c>
      <c r="W302" s="6">
        <f>IF(ISERROR(VLOOKUP($T$302,'TAR FIN'!$A$1:$O$85,15,0)),0,VLOOKUP($T$302,'TAR FIN'!$A$1:$O$85,15,0))</f>
        <v>609.05999999999995</v>
      </c>
      <c r="X302" s="6">
        <f>IF(ISERROR(VLOOKUP($U$302,'TAR FIN'!$A$1:$O$85,15,0)),0,VLOOKUP($U$302,'TAR FIN'!$A$1:$O$85,15,0))</f>
        <v>119.97</v>
      </c>
      <c r="Y302" s="6"/>
      <c r="Z302" s="6">
        <f ca="1">('TUSD BE'!$AM$48+'TUSD BF'!$AM$48+'TUSD CVA'!$AM$48)*1</f>
        <v>659.71654674120782</v>
      </c>
      <c r="AA302" s="6">
        <f>('TE BE'!$AB$38+'TE BF'!$AB$38+'TE CVA'!$AB$38)*1</f>
        <v>122.58638016056723</v>
      </c>
      <c r="AB302" s="6">
        <f>$K$302*$V$302</f>
        <v>0</v>
      </c>
      <c r="AC302" s="6">
        <f>$M$302*$W$302</f>
        <v>78543.159479999988</v>
      </c>
      <c r="AD302" s="6">
        <f>$O$302*$X$302</f>
        <v>15471.091259999999</v>
      </c>
      <c r="AE302" s="6">
        <f>$K$302*$Y$302</f>
        <v>0</v>
      </c>
      <c r="AF302" s="6">
        <f ca="1">$M$302*$Z$302</f>
        <v>85075.726434652679</v>
      </c>
      <c r="AG302" s="6">
        <f>$O$302*$AA$302</f>
        <v>15808.49441274643</v>
      </c>
    </row>
    <row r="303" spans="1:33" ht="11.25" customHeight="1" x14ac:dyDescent="0.3">
      <c r="A303" s="4" t="s">
        <v>28</v>
      </c>
      <c r="B303" s="4" t="s">
        <v>33</v>
      </c>
      <c r="C303" s="4" t="s">
        <v>23</v>
      </c>
      <c r="D303" s="4" t="s">
        <v>34</v>
      </c>
      <c r="E303" s="4" t="s">
        <v>25</v>
      </c>
      <c r="F303" s="4" t="s">
        <v>25</v>
      </c>
      <c r="G303" s="4" t="s">
        <v>25</v>
      </c>
      <c r="H303" s="4" t="s">
        <v>25</v>
      </c>
      <c r="I303" s="5">
        <v>44621</v>
      </c>
      <c r="J303" s="6">
        <v>0</v>
      </c>
      <c r="K303" s="6">
        <v>0</v>
      </c>
      <c r="L303" s="6">
        <v>0.2</v>
      </c>
      <c r="M303" s="6">
        <v>0.2</v>
      </c>
      <c r="N303" s="6">
        <v>0.2</v>
      </c>
      <c r="O303" s="6">
        <v>0.2</v>
      </c>
      <c r="P303" s="6">
        <v>2</v>
      </c>
      <c r="Q303" s="4" t="s">
        <v>26</v>
      </c>
      <c r="R303" s="4">
        <v>0</v>
      </c>
      <c r="S303" s="6">
        <v>0</v>
      </c>
      <c r="T303" s="6">
        <v>28</v>
      </c>
      <c r="U303" s="6">
        <v>76</v>
      </c>
      <c r="V303" s="6">
        <f>IF(ISERROR(VLOOKUP($S$303,'TAR FIN'!$A$1:$O$85,15,0)),0,VLOOKUP($S$303,'TAR FIN'!$A$1:$O$85,15,0))</f>
        <v>0</v>
      </c>
      <c r="W303" s="6">
        <f>IF(ISERROR(VLOOKUP($T$303,'TAR FIN'!$A$1:$O$85,15,0)),0,VLOOKUP($T$303,'TAR FIN'!$A$1:$O$85,15,0))</f>
        <v>609.05999999999995</v>
      </c>
      <c r="X303" s="6">
        <f>IF(ISERROR(VLOOKUP($U$303,'TAR FIN'!$A$1:$O$85,15,0)),0,VLOOKUP($U$303,'TAR FIN'!$A$1:$O$85,15,0))</f>
        <v>119.97</v>
      </c>
      <c r="Y303" s="6"/>
      <c r="Z303" s="6">
        <f ca="1">('TUSD BE'!$AM$48+'TUSD BF'!$AM$48+'TUSD CVA'!$AM$48)*1</f>
        <v>659.71654674120782</v>
      </c>
      <c r="AA303" s="6">
        <f>('TE BE'!$AB$38+'TE BF'!$AB$38+'TE CVA'!$AB$38)*1</f>
        <v>122.58638016056723</v>
      </c>
      <c r="AB303" s="6">
        <f>$K$303*$V$303</f>
        <v>0</v>
      </c>
      <c r="AC303" s="6">
        <f>$M$303*$W$303</f>
        <v>121.812</v>
      </c>
      <c r="AD303" s="6">
        <f>$O$303*$X$303</f>
        <v>23.994</v>
      </c>
      <c r="AE303" s="6">
        <f>$K$303*$Y$303</f>
        <v>0</v>
      </c>
      <c r="AF303" s="6">
        <f ca="1">$M$303*$Z$303</f>
        <v>131.94330934824157</v>
      </c>
      <c r="AG303" s="6">
        <f>$O$303*$AA$303</f>
        <v>24.517276032113447</v>
      </c>
    </row>
    <row r="304" spans="1:33" ht="11.25" customHeight="1" x14ac:dyDescent="0.3">
      <c r="A304" s="4" t="s">
        <v>21</v>
      </c>
      <c r="B304" s="4" t="s">
        <v>33</v>
      </c>
      <c r="C304" s="4" t="s">
        <v>23</v>
      </c>
      <c r="D304" s="4" t="s">
        <v>34</v>
      </c>
      <c r="E304" s="4" t="s">
        <v>25</v>
      </c>
      <c r="F304" s="4" t="s">
        <v>25</v>
      </c>
      <c r="G304" s="4" t="s">
        <v>25</v>
      </c>
      <c r="H304" s="4" t="s">
        <v>25</v>
      </c>
      <c r="I304" s="5">
        <v>44652</v>
      </c>
      <c r="J304" s="6">
        <v>0</v>
      </c>
      <c r="K304" s="6">
        <v>0</v>
      </c>
      <c r="L304" s="6">
        <v>139.82900000000001</v>
      </c>
      <c r="M304" s="6">
        <v>139.82900000000001</v>
      </c>
      <c r="N304" s="6">
        <v>139.82900000000001</v>
      </c>
      <c r="O304" s="6">
        <v>139.82900000000001</v>
      </c>
      <c r="P304" s="6">
        <v>67</v>
      </c>
      <c r="Q304" s="4" t="s">
        <v>26</v>
      </c>
      <c r="R304" s="4">
        <v>0</v>
      </c>
      <c r="S304" s="6">
        <v>0</v>
      </c>
      <c r="T304" s="6">
        <v>28</v>
      </c>
      <c r="U304" s="6">
        <v>76</v>
      </c>
      <c r="V304" s="6">
        <f>IF(ISERROR(VLOOKUP($S$304,'TAR FIN'!$A$1:$O$85,15,0)),0,VLOOKUP($S$304,'TAR FIN'!$A$1:$O$85,15,0))</f>
        <v>0</v>
      </c>
      <c r="W304" s="6">
        <f>IF(ISERROR(VLOOKUP($T$304,'TAR FIN'!$A$1:$O$85,15,0)),0,VLOOKUP($T$304,'TAR FIN'!$A$1:$O$85,15,0))</f>
        <v>609.05999999999995</v>
      </c>
      <c r="X304" s="6">
        <f>IF(ISERROR(VLOOKUP($U$304,'TAR FIN'!$A$1:$O$85,15,0)),0,VLOOKUP($U$304,'TAR FIN'!$A$1:$O$85,15,0))</f>
        <v>119.97</v>
      </c>
      <c r="Y304" s="6"/>
      <c r="Z304" s="6">
        <f ca="1">('TUSD BE'!$AM$48+'TUSD BF'!$AM$48+'TUSD CVA'!$AM$48)*1</f>
        <v>659.71654674120782</v>
      </c>
      <c r="AA304" s="6">
        <f>('TE BE'!$AB$38+'TE BF'!$AB$38+'TE CVA'!$AB$38)*1</f>
        <v>122.58638016056723</v>
      </c>
      <c r="AB304" s="6">
        <f>$K$304*$V$304</f>
        <v>0</v>
      </c>
      <c r="AC304" s="6">
        <f>$M$304*$W$304</f>
        <v>85164.250740000003</v>
      </c>
      <c r="AD304" s="6">
        <f>$O$304*$X$304</f>
        <v>16775.28513</v>
      </c>
      <c r="AE304" s="6">
        <f>$K$304*$Y$304</f>
        <v>0</v>
      </c>
      <c r="AF304" s="6">
        <f ca="1">$M$304*$Z$304</f>
        <v>92247.50501427635</v>
      </c>
      <c r="AG304" s="6">
        <f>$O$304*$AA$304</f>
        <v>17141.130951471958</v>
      </c>
    </row>
    <row r="305" spans="1:33" ht="11.25" customHeight="1" x14ac:dyDescent="0.3">
      <c r="A305" s="4" t="s">
        <v>28</v>
      </c>
      <c r="B305" s="4" t="s">
        <v>33</v>
      </c>
      <c r="C305" s="4" t="s">
        <v>23</v>
      </c>
      <c r="D305" s="4" t="s">
        <v>34</v>
      </c>
      <c r="E305" s="4" t="s">
        <v>25</v>
      </c>
      <c r="F305" s="4" t="s">
        <v>25</v>
      </c>
      <c r="G305" s="4" t="s">
        <v>25</v>
      </c>
      <c r="H305" s="4" t="s">
        <v>25</v>
      </c>
      <c r="I305" s="5">
        <v>44652</v>
      </c>
      <c r="J305" s="6">
        <v>0</v>
      </c>
      <c r="K305" s="6">
        <v>0</v>
      </c>
      <c r="L305" s="6">
        <v>0.2</v>
      </c>
      <c r="M305" s="6">
        <v>0.2</v>
      </c>
      <c r="N305" s="6">
        <v>0.2</v>
      </c>
      <c r="O305" s="6">
        <v>0.2</v>
      </c>
      <c r="P305" s="6">
        <v>2</v>
      </c>
      <c r="Q305" s="4" t="s">
        <v>26</v>
      </c>
      <c r="R305" s="4">
        <v>0</v>
      </c>
      <c r="S305" s="6">
        <v>0</v>
      </c>
      <c r="T305" s="6">
        <v>28</v>
      </c>
      <c r="U305" s="6">
        <v>76</v>
      </c>
      <c r="V305" s="6">
        <f>IF(ISERROR(VLOOKUP($S$305,'TAR FIN'!$A$1:$O$85,15,0)),0,VLOOKUP($S$305,'TAR FIN'!$A$1:$O$85,15,0))</f>
        <v>0</v>
      </c>
      <c r="W305" s="6">
        <f>IF(ISERROR(VLOOKUP($T$305,'TAR FIN'!$A$1:$O$85,15,0)),0,VLOOKUP($T$305,'TAR FIN'!$A$1:$O$85,15,0))</f>
        <v>609.05999999999995</v>
      </c>
      <c r="X305" s="6">
        <f>IF(ISERROR(VLOOKUP($U$305,'TAR FIN'!$A$1:$O$85,15,0)),0,VLOOKUP($U$305,'TAR FIN'!$A$1:$O$85,15,0))</f>
        <v>119.97</v>
      </c>
      <c r="Y305" s="6"/>
      <c r="Z305" s="6">
        <f ca="1">('TUSD BE'!$AM$48+'TUSD BF'!$AM$48+'TUSD CVA'!$AM$48)*1</f>
        <v>659.71654674120782</v>
      </c>
      <c r="AA305" s="6">
        <f>('TE BE'!$AB$38+'TE BF'!$AB$38+'TE CVA'!$AB$38)*1</f>
        <v>122.58638016056723</v>
      </c>
      <c r="AB305" s="6">
        <f>$K$305*$V$305</f>
        <v>0</v>
      </c>
      <c r="AC305" s="6">
        <f>$M$305*$W$305</f>
        <v>121.812</v>
      </c>
      <c r="AD305" s="6">
        <f>$O$305*$X$305</f>
        <v>23.994</v>
      </c>
      <c r="AE305" s="6">
        <f>$K$305*$Y$305</f>
        <v>0</v>
      </c>
      <c r="AF305" s="6">
        <f ca="1">$M$305*$Z$305</f>
        <v>131.94330934824157</v>
      </c>
      <c r="AG305" s="6">
        <f>$O$305*$AA$305</f>
        <v>24.517276032113447</v>
      </c>
    </row>
    <row r="306" spans="1:33" ht="11.25" customHeight="1" x14ac:dyDescent="0.3">
      <c r="A306" s="4" t="s">
        <v>21</v>
      </c>
      <c r="B306" s="4" t="s">
        <v>33</v>
      </c>
      <c r="C306" s="4" t="s">
        <v>23</v>
      </c>
      <c r="D306" s="4" t="s">
        <v>34</v>
      </c>
      <c r="E306" s="4" t="s">
        <v>25</v>
      </c>
      <c r="F306" s="4" t="s">
        <v>25</v>
      </c>
      <c r="G306" s="4" t="s">
        <v>25</v>
      </c>
      <c r="H306" s="4" t="s">
        <v>25</v>
      </c>
      <c r="I306" s="5">
        <v>44682</v>
      </c>
      <c r="J306" s="6">
        <v>0</v>
      </c>
      <c r="K306" s="6">
        <v>0</v>
      </c>
      <c r="L306" s="6">
        <v>146.398</v>
      </c>
      <c r="M306" s="6">
        <v>146.398</v>
      </c>
      <c r="N306" s="6">
        <v>146.398</v>
      </c>
      <c r="O306" s="6">
        <v>146.398</v>
      </c>
      <c r="P306" s="6">
        <v>67</v>
      </c>
      <c r="Q306" s="4" t="s">
        <v>26</v>
      </c>
      <c r="R306" s="4">
        <v>0</v>
      </c>
      <c r="S306" s="6">
        <v>0</v>
      </c>
      <c r="T306" s="6">
        <v>28</v>
      </c>
      <c r="U306" s="6">
        <v>76</v>
      </c>
      <c r="V306" s="6">
        <f>IF(ISERROR(VLOOKUP($S$306,'TAR FIN'!$A$1:$O$85,15,0)),0,VLOOKUP($S$306,'TAR FIN'!$A$1:$O$85,15,0))</f>
        <v>0</v>
      </c>
      <c r="W306" s="6">
        <f>IF(ISERROR(VLOOKUP($T$306,'TAR FIN'!$A$1:$O$85,15,0)),0,VLOOKUP($T$306,'TAR FIN'!$A$1:$O$85,15,0))</f>
        <v>609.05999999999995</v>
      </c>
      <c r="X306" s="6">
        <f>IF(ISERROR(VLOOKUP($U$306,'TAR FIN'!$A$1:$O$85,15,0)),0,VLOOKUP($U$306,'TAR FIN'!$A$1:$O$85,15,0))</f>
        <v>119.97</v>
      </c>
      <c r="Y306" s="6"/>
      <c r="Z306" s="6">
        <f ca="1">('TUSD BE'!$AM$48+'TUSD BF'!$AM$48+'TUSD CVA'!$AM$48)*1</f>
        <v>659.71654674120782</v>
      </c>
      <c r="AA306" s="6">
        <f>('TE BE'!$AB$38+'TE BF'!$AB$38+'TE CVA'!$AB$38)*1</f>
        <v>122.58638016056723</v>
      </c>
      <c r="AB306" s="6">
        <f>$K$306*$V$306</f>
        <v>0</v>
      </c>
      <c r="AC306" s="6">
        <f>$M$306*$W$306</f>
        <v>89165.165879999986</v>
      </c>
      <c r="AD306" s="6">
        <f>$O$306*$X$306</f>
        <v>17563.368060000001</v>
      </c>
      <c r="AE306" s="6">
        <f>$K$306*$Y$306</f>
        <v>0</v>
      </c>
      <c r="AF306" s="6">
        <f ca="1">$M$306*$Z$306</f>
        <v>96581.183009819346</v>
      </c>
      <c r="AG306" s="6">
        <f>$O$306*$AA$306</f>
        <v>17946.400882746722</v>
      </c>
    </row>
    <row r="307" spans="1:33" ht="11.25" customHeight="1" x14ac:dyDescent="0.3">
      <c r="A307" s="4" t="s">
        <v>28</v>
      </c>
      <c r="B307" s="4" t="s">
        <v>33</v>
      </c>
      <c r="C307" s="4" t="s">
        <v>23</v>
      </c>
      <c r="D307" s="4" t="s">
        <v>34</v>
      </c>
      <c r="E307" s="4" t="s">
        <v>25</v>
      </c>
      <c r="F307" s="4" t="s">
        <v>25</v>
      </c>
      <c r="G307" s="4" t="s">
        <v>25</v>
      </c>
      <c r="H307" s="4" t="s">
        <v>25</v>
      </c>
      <c r="I307" s="5">
        <v>44682</v>
      </c>
      <c r="J307" s="6">
        <v>0</v>
      </c>
      <c r="K307" s="6">
        <v>0</v>
      </c>
      <c r="L307" s="6">
        <v>0.2</v>
      </c>
      <c r="M307" s="6">
        <v>0.2</v>
      </c>
      <c r="N307" s="6">
        <v>0.2</v>
      </c>
      <c r="O307" s="6">
        <v>0.2</v>
      </c>
      <c r="P307" s="6">
        <v>2</v>
      </c>
      <c r="Q307" s="4" t="s">
        <v>26</v>
      </c>
      <c r="R307" s="4">
        <v>0</v>
      </c>
      <c r="S307" s="6">
        <v>0</v>
      </c>
      <c r="T307" s="6">
        <v>28</v>
      </c>
      <c r="U307" s="6">
        <v>76</v>
      </c>
      <c r="V307" s="6">
        <f>IF(ISERROR(VLOOKUP($S$307,'TAR FIN'!$A$1:$O$85,15,0)),0,VLOOKUP($S$307,'TAR FIN'!$A$1:$O$85,15,0))</f>
        <v>0</v>
      </c>
      <c r="W307" s="6">
        <f>IF(ISERROR(VLOOKUP($T$307,'TAR FIN'!$A$1:$O$85,15,0)),0,VLOOKUP($T$307,'TAR FIN'!$A$1:$O$85,15,0))</f>
        <v>609.05999999999995</v>
      </c>
      <c r="X307" s="6">
        <f>IF(ISERROR(VLOOKUP($U$307,'TAR FIN'!$A$1:$O$85,15,0)),0,VLOOKUP($U$307,'TAR FIN'!$A$1:$O$85,15,0))</f>
        <v>119.97</v>
      </c>
      <c r="Y307" s="6"/>
      <c r="Z307" s="6">
        <f ca="1">('TUSD BE'!$AM$48+'TUSD BF'!$AM$48+'TUSD CVA'!$AM$48)*1</f>
        <v>659.71654674120782</v>
      </c>
      <c r="AA307" s="6">
        <f>('TE BE'!$AB$38+'TE BF'!$AB$38+'TE CVA'!$AB$38)*1</f>
        <v>122.58638016056723</v>
      </c>
      <c r="AB307" s="6">
        <f>$K$307*$V$307</f>
        <v>0</v>
      </c>
      <c r="AC307" s="6">
        <f>$M$307*$W$307</f>
        <v>121.812</v>
      </c>
      <c r="AD307" s="6">
        <f>$O$307*$X$307</f>
        <v>23.994</v>
      </c>
      <c r="AE307" s="6">
        <f>$K$307*$Y$307</f>
        <v>0</v>
      </c>
      <c r="AF307" s="6">
        <f ca="1">$M$307*$Z$307</f>
        <v>131.94330934824157</v>
      </c>
      <c r="AG307" s="6">
        <f>$O$307*$AA$307</f>
        <v>24.517276032113447</v>
      </c>
    </row>
    <row r="308" spans="1:33" ht="11.25" customHeight="1" x14ac:dyDescent="0.3">
      <c r="A308" s="4" t="s">
        <v>21</v>
      </c>
      <c r="B308" s="4" t="s">
        <v>33</v>
      </c>
      <c r="C308" s="4" t="s">
        <v>23</v>
      </c>
      <c r="D308" s="4" t="s">
        <v>34</v>
      </c>
      <c r="E308" s="4" t="s">
        <v>25</v>
      </c>
      <c r="F308" s="4" t="s">
        <v>25</v>
      </c>
      <c r="G308" s="4" t="s">
        <v>25</v>
      </c>
      <c r="H308" s="4" t="s">
        <v>25</v>
      </c>
      <c r="I308" s="5">
        <v>44713</v>
      </c>
      <c r="J308" s="6">
        <v>0</v>
      </c>
      <c r="K308" s="6">
        <v>0</v>
      </c>
      <c r="L308" s="6">
        <v>151.81399999999999</v>
      </c>
      <c r="M308" s="6">
        <v>151.81399999999999</v>
      </c>
      <c r="N308" s="6">
        <v>151.81399999999999</v>
      </c>
      <c r="O308" s="6">
        <v>151.81399999999999</v>
      </c>
      <c r="P308" s="6">
        <v>67</v>
      </c>
      <c r="Q308" s="4" t="s">
        <v>26</v>
      </c>
      <c r="R308" s="4">
        <v>0</v>
      </c>
      <c r="S308" s="6">
        <v>0</v>
      </c>
      <c r="T308" s="6">
        <v>28</v>
      </c>
      <c r="U308" s="6">
        <v>76</v>
      </c>
      <c r="V308" s="6">
        <f>IF(ISERROR(VLOOKUP($S$308,'TAR FIN'!$A$1:$O$85,15,0)),0,VLOOKUP($S$308,'TAR FIN'!$A$1:$O$85,15,0))</f>
        <v>0</v>
      </c>
      <c r="W308" s="6">
        <f>IF(ISERROR(VLOOKUP($T$308,'TAR FIN'!$A$1:$O$85,15,0)),0,VLOOKUP($T$308,'TAR FIN'!$A$1:$O$85,15,0))</f>
        <v>609.05999999999995</v>
      </c>
      <c r="X308" s="6">
        <f>IF(ISERROR(VLOOKUP($U$308,'TAR FIN'!$A$1:$O$85,15,0)),0,VLOOKUP($U$308,'TAR FIN'!$A$1:$O$85,15,0))</f>
        <v>119.97</v>
      </c>
      <c r="Y308" s="6"/>
      <c r="Z308" s="6">
        <f ca="1">('TUSD BE'!$AM$48+'TUSD BF'!$AM$48+'TUSD CVA'!$AM$48)*1</f>
        <v>659.71654674120782</v>
      </c>
      <c r="AA308" s="6">
        <f>('TE BE'!$AB$38+'TE BF'!$AB$38+'TE CVA'!$AB$38)*1</f>
        <v>122.58638016056723</v>
      </c>
      <c r="AB308" s="6">
        <f>$K$308*$V$308</f>
        <v>0</v>
      </c>
      <c r="AC308" s="6">
        <f>$M$308*$W$308</f>
        <v>92463.834839999981</v>
      </c>
      <c r="AD308" s="6">
        <f>$O$308*$X$308</f>
        <v>18213.12558</v>
      </c>
      <c r="AE308" s="6">
        <f>$K$308*$Y$308</f>
        <v>0</v>
      </c>
      <c r="AF308" s="6">
        <f ca="1">$M$308*$Z$308</f>
        <v>100154.20782696972</v>
      </c>
      <c r="AG308" s="6">
        <f>$O$308*$AA$308</f>
        <v>18610.328717696353</v>
      </c>
    </row>
    <row r="309" spans="1:33" ht="11.25" customHeight="1" x14ac:dyDescent="0.3">
      <c r="A309" s="4" t="s">
        <v>28</v>
      </c>
      <c r="B309" s="4" t="s">
        <v>33</v>
      </c>
      <c r="C309" s="4" t="s">
        <v>23</v>
      </c>
      <c r="D309" s="4" t="s">
        <v>34</v>
      </c>
      <c r="E309" s="4" t="s">
        <v>25</v>
      </c>
      <c r="F309" s="4" t="s">
        <v>25</v>
      </c>
      <c r="G309" s="4" t="s">
        <v>25</v>
      </c>
      <c r="H309" s="4" t="s">
        <v>25</v>
      </c>
      <c r="I309" s="5">
        <v>44713</v>
      </c>
      <c r="J309" s="6">
        <v>0</v>
      </c>
      <c r="K309" s="6">
        <v>0</v>
      </c>
      <c r="L309" s="6">
        <v>3.6019999999999999</v>
      </c>
      <c r="M309" s="6">
        <v>3.6019999999999999</v>
      </c>
      <c r="N309" s="6">
        <v>3.6019999999999999</v>
      </c>
      <c r="O309" s="6">
        <v>3.6019999999999999</v>
      </c>
      <c r="P309" s="6">
        <v>2</v>
      </c>
      <c r="Q309" s="4" t="s">
        <v>26</v>
      </c>
      <c r="R309" s="4">
        <v>0</v>
      </c>
      <c r="S309" s="6">
        <v>0</v>
      </c>
      <c r="T309" s="6">
        <v>28</v>
      </c>
      <c r="U309" s="6">
        <v>76</v>
      </c>
      <c r="V309" s="6">
        <f>IF(ISERROR(VLOOKUP($S$309,'TAR FIN'!$A$1:$O$85,15,0)),0,VLOOKUP($S$309,'TAR FIN'!$A$1:$O$85,15,0))</f>
        <v>0</v>
      </c>
      <c r="W309" s="6">
        <f>IF(ISERROR(VLOOKUP($T$309,'TAR FIN'!$A$1:$O$85,15,0)),0,VLOOKUP($T$309,'TAR FIN'!$A$1:$O$85,15,0))</f>
        <v>609.05999999999995</v>
      </c>
      <c r="X309" s="6">
        <f>IF(ISERROR(VLOOKUP($U$309,'TAR FIN'!$A$1:$O$85,15,0)),0,VLOOKUP($U$309,'TAR FIN'!$A$1:$O$85,15,0))</f>
        <v>119.97</v>
      </c>
      <c r="Y309" s="6"/>
      <c r="Z309" s="6">
        <f ca="1">('TUSD BE'!$AM$48+'TUSD BF'!$AM$48+'TUSD CVA'!$AM$48)*1</f>
        <v>659.71654674120782</v>
      </c>
      <c r="AA309" s="6">
        <f>('TE BE'!$AB$38+'TE BF'!$AB$38+'TE CVA'!$AB$38)*1</f>
        <v>122.58638016056723</v>
      </c>
      <c r="AB309" s="6">
        <f>$K$309*$V$309</f>
        <v>0</v>
      </c>
      <c r="AC309" s="6">
        <f>$M$309*$W$309</f>
        <v>2193.8341199999995</v>
      </c>
      <c r="AD309" s="6">
        <f>$O$309*$X$309</f>
        <v>432.13193999999999</v>
      </c>
      <c r="AE309" s="6">
        <f>$K$309*$Y$309</f>
        <v>0</v>
      </c>
      <c r="AF309" s="6">
        <f ca="1">$M$309*$Z$309</f>
        <v>2376.2990013618305</v>
      </c>
      <c r="AG309" s="6">
        <f>$O$309*$AA$309</f>
        <v>441.55614133836315</v>
      </c>
    </row>
    <row r="310" spans="1:33" ht="11.25" customHeight="1" x14ac:dyDescent="0.3">
      <c r="A310" s="4" t="s">
        <v>21</v>
      </c>
      <c r="B310" s="4" t="s">
        <v>33</v>
      </c>
      <c r="C310" s="4" t="s">
        <v>23</v>
      </c>
      <c r="D310" s="4" t="s">
        <v>34</v>
      </c>
      <c r="E310" s="4" t="s">
        <v>25</v>
      </c>
      <c r="F310" s="4" t="s">
        <v>25</v>
      </c>
      <c r="G310" s="4" t="s">
        <v>25</v>
      </c>
      <c r="H310" s="4" t="s">
        <v>25</v>
      </c>
      <c r="I310" s="5">
        <v>44743</v>
      </c>
      <c r="J310" s="6">
        <v>0</v>
      </c>
      <c r="K310" s="6">
        <v>0</v>
      </c>
      <c r="L310" s="6">
        <v>120.703</v>
      </c>
      <c r="M310" s="6">
        <v>120.703</v>
      </c>
      <c r="N310" s="6">
        <v>120.703</v>
      </c>
      <c r="O310" s="6">
        <v>120.703</v>
      </c>
      <c r="P310" s="6">
        <v>67</v>
      </c>
      <c r="Q310" s="4" t="s">
        <v>26</v>
      </c>
      <c r="R310" s="4">
        <v>0</v>
      </c>
      <c r="S310" s="6">
        <v>0</v>
      </c>
      <c r="T310" s="6">
        <v>28</v>
      </c>
      <c r="U310" s="6">
        <v>76</v>
      </c>
      <c r="V310" s="6">
        <f>IF(ISERROR(VLOOKUP($S$310,'TAR FIN'!$A$1:$O$85,15,0)),0,VLOOKUP($S$310,'TAR FIN'!$A$1:$O$85,15,0))</f>
        <v>0</v>
      </c>
      <c r="W310" s="6">
        <f>IF(ISERROR(VLOOKUP($T$310,'TAR FIN'!$A$1:$O$85,15,0)),0,VLOOKUP($T$310,'TAR FIN'!$A$1:$O$85,15,0))</f>
        <v>609.05999999999995</v>
      </c>
      <c r="X310" s="6">
        <f>IF(ISERROR(VLOOKUP($U$310,'TAR FIN'!$A$1:$O$85,15,0)),0,VLOOKUP($U$310,'TAR FIN'!$A$1:$O$85,15,0))</f>
        <v>119.97</v>
      </c>
      <c r="Y310" s="6"/>
      <c r="Z310" s="6">
        <f ca="1">('TUSD BE'!$AM$48+'TUSD BF'!$AM$48+'TUSD CVA'!$AM$48)*1</f>
        <v>659.71654674120782</v>
      </c>
      <c r="AA310" s="6">
        <f>('TE BE'!$AB$38+'TE BF'!$AB$38+'TE CVA'!$AB$38)*1</f>
        <v>122.58638016056723</v>
      </c>
      <c r="AB310" s="6">
        <f>$K$310*$V$310</f>
        <v>0</v>
      </c>
      <c r="AC310" s="6">
        <f>$M$310*$W$310</f>
        <v>73515.369179999994</v>
      </c>
      <c r="AD310" s="6">
        <f>$O$310*$X$310</f>
        <v>14480.73891</v>
      </c>
      <c r="AE310" s="6">
        <f>$K$310*$Y$310</f>
        <v>0</v>
      </c>
      <c r="AF310" s="6">
        <f ca="1">$M$310*$Z$310</f>
        <v>79629.766341304014</v>
      </c>
      <c r="AG310" s="6">
        <f>$O$310*$AA$310</f>
        <v>14796.543844520947</v>
      </c>
    </row>
    <row r="311" spans="1:33" ht="11.25" customHeight="1" x14ac:dyDescent="0.3">
      <c r="A311" s="4" t="s">
        <v>27</v>
      </c>
      <c r="B311" s="4" t="s">
        <v>33</v>
      </c>
      <c r="C311" s="4" t="s">
        <v>23</v>
      </c>
      <c r="D311" s="4" t="s">
        <v>34</v>
      </c>
      <c r="E311" s="4" t="s">
        <v>25</v>
      </c>
      <c r="F311" s="4" t="s">
        <v>25</v>
      </c>
      <c r="G311" s="4" t="s">
        <v>25</v>
      </c>
      <c r="H311" s="4" t="s">
        <v>25</v>
      </c>
      <c r="I311" s="5">
        <v>44743</v>
      </c>
      <c r="J311" s="6">
        <v>0</v>
      </c>
      <c r="K311" s="6">
        <v>0</v>
      </c>
      <c r="L311" s="6">
        <v>-0.33900000000000002</v>
      </c>
      <c r="M311" s="6">
        <v>-0.33900000000000002</v>
      </c>
      <c r="N311" s="6">
        <v>-0.33900000000000002</v>
      </c>
      <c r="O311" s="6">
        <v>-0.33900000000000002</v>
      </c>
      <c r="P311" s="6">
        <v>0</v>
      </c>
      <c r="Q311" s="4" t="s">
        <v>26</v>
      </c>
      <c r="R311" s="4">
        <v>0</v>
      </c>
      <c r="S311" s="6">
        <v>0</v>
      </c>
      <c r="T311" s="6">
        <v>28</v>
      </c>
      <c r="U311" s="6">
        <v>76</v>
      </c>
      <c r="V311" s="6">
        <f>IF(ISERROR(VLOOKUP($S$311,'TAR FIN'!$A$1:$O$85,15,0)),0,VLOOKUP($S$311,'TAR FIN'!$A$1:$O$85,15,0))</f>
        <v>0</v>
      </c>
      <c r="W311" s="6">
        <f>IF(ISERROR(VLOOKUP($T$311,'TAR FIN'!$A$1:$O$85,15,0)),0,VLOOKUP($T$311,'TAR FIN'!$A$1:$O$85,15,0))</f>
        <v>609.05999999999995</v>
      </c>
      <c r="X311" s="6">
        <f>IF(ISERROR(VLOOKUP($U$311,'TAR FIN'!$A$1:$O$85,15,0)),0,VLOOKUP($U$311,'TAR FIN'!$A$1:$O$85,15,0))</f>
        <v>119.97</v>
      </c>
      <c r="Y311" s="6"/>
      <c r="Z311" s="6">
        <f ca="1">('TUSD BE'!$AM$48+'TUSD BF'!$AM$48+'TUSD CVA'!$AM$48)*1</f>
        <v>659.71654674120782</v>
      </c>
      <c r="AA311" s="6">
        <f>('TE BE'!$AB$38+'TE BF'!$AB$38+'TE CVA'!$AB$38)*1</f>
        <v>122.58638016056723</v>
      </c>
      <c r="AB311" s="6">
        <f>$K$311*$V$311</f>
        <v>0</v>
      </c>
      <c r="AC311" s="6">
        <f>$M$311*$W$311</f>
        <v>-206.47134</v>
      </c>
      <c r="AD311" s="6">
        <f>$O$311*$X$311</f>
        <v>-40.669830000000005</v>
      </c>
      <c r="AE311" s="6">
        <f>$K$311*$Y$311</f>
        <v>0</v>
      </c>
      <c r="AF311" s="6">
        <f ca="1">$M$311*$Z$311</f>
        <v>-223.64390934526946</v>
      </c>
      <c r="AG311" s="6">
        <f>$O$311*$AA$311</f>
        <v>-41.556782874432294</v>
      </c>
    </row>
    <row r="312" spans="1:33" ht="11.25" customHeight="1" x14ac:dyDescent="0.3">
      <c r="A312" s="4" t="s">
        <v>28</v>
      </c>
      <c r="B312" s="4" t="s">
        <v>33</v>
      </c>
      <c r="C312" s="4" t="s">
        <v>23</v>
      </c>
      <c r="D312" s="4" t="s">
        <v>34</v>
      </c>
      <c r="E312" s="4" t="s">
        <v>25</v>
      </c>
      <c r="F312" s="4" t="s">
        <v>25</v>
      </c>
      <c r="G312" s="4" t="s">
        <v>25</v>
      </c>
      <c r="H312" s="4" t="s">
        <v>25</v>
      </c>
      <c r="I312" s="5">
        <v>44743</v>
      </c>
      <c r="J312" s="6">
        <v>0</v>
      </c>
      <c r="K312" s="6">
        <v>0</v>
      </c>
      <c r="L312" s="6">
        <v>2.363</v>
      </c>
      <c r="M312" s="6">
        <v>2.363</v>
      </c>
      <c r="N312" s="6">
        <v>2.363</v>
      </c>
      <c r="O312" s="6">
        <v>2.363</v>
      </c>
      <c r="P312" s="6">
        <v>2</v>
      </c>
      <c r="Q312" s="4" t="s">
        <v>26</v>
      </c>
      <c r="R312" s="4">
        <v>0</v>
      </c>
      <c r="S312" s="6">
        <v>0</v>
      </c>
      <c r="T312" s="6">
        <v>28</v>
      </c>
      <c r="U312" s="6">
        <v>76</v>
      </c>
      <c r="V312" s="6">
        <f>IF(ISERROR(VLOOKUP($S$312,'TAR FIN'!$A$1:$O$85,15,0)),0,VLOOKUP($S$312,'TAR FIN'!$A$1:$O$85,15,0))</f>
        <v>0</v>
      </c>
      <c r="W312" s="6">
        <f>IF(ISERROR(VLOOKUP($T$312,'TAR FIN'!$A$1:$O$85,15,0)),0,VLOOKUP($T$312,'TAR FIN'!$A$1:$O$85,15,0))</f>
        <v>609.05999999999995</v>
      </c>
      <c r="X312" s="6">
        <f>IF(ISERROR(VLOOKUP($U$312,'TAR FIN'!$A$1:$O$85,15,0)),0,VLOOKUP($U$312,'TAR FIN'!$A$1:$O$85,15,0))</f>
        <v>119.97</v>
      </c>
      <c r="Y312" s="6"/>
      <c r="Z312" s="6">
        <f ca="1">('TUSD BE'!$AM$48+'TUSD BF'!$AM$48+'TUSD CVA'!$AM$48)*1</f>
        <v>659.71654674120782</v>
      </c>
      <c r="AA312" s="6">
        <f>('TE BE'!$AB$38+'TE BF'!$AB$38+'TE CVA'!$AB$38)*1</f>
        <v>122.58638016056723</v>
      </c>
      <c r="AB312" s="6">
        <f>$K$312*$V$312</f>
        <v>0</v>
      </c>
      <c r="AC312" s="6">
        <f>$M$312*$W$312</f>
        <v>1439.2087799999999</v>
      </c>
      <c r="AD312" s="6">
        <f>$O$312*$X$312</f>
        <v>283.48910999999998</v>
      </c>
      <c r="AE312" s="6">
        <f>$K$312*$Y$312</f>
        <v>0</v>
      </c>
      <c r="AF312" s="6">
        <f ca="1">$M$312*$Z$312</f>
        <v>1558.910199949474</v>
      </c>
      <c r="AG312" s="6">
        <f>$O$312*$AA$312</f>
        <v>289.67161631942037</v>
      </c>
    </row>
    <row r="313" spans="1:33" ht="11.25" customHeight="1" x14ac:dyDescent="0.3">
      <c r="A313" s="4" t="s">
        <v>52</v>
      </c>
      <c r="B313" s="4" t="s">
        <v>33</v>
      </c>
      <c r="C313" s="4" t="s">
        <v>23</v>
      </c>
      <c r="D313" s="4" t="s">
        <v>34</v>
      </c>
      <c r="E313" s="4" t="s">
        <v>25</v>
      </c>
      <c r="F313" s="4" t="s">
        <v>25</v>
      </c>
      <c r="G313" s="4" t="s">
        <v>25</v>
      </c>
      <c r="H313" s="4" t="s">
        <v>25</v>
      </c>
      <c r="I313" s="5">
        <v>44774</v>
      </c>
      <c r="J313" s="6">
        <v>0</v>
      </c>
      <c r="K313" s="6">
        <v>0</v>
      </c>
      <c r="L313" s="6">
        <v>120.703</v>
      </c>
      <c r="M313" s="6">
        <v>120.703</v>
      </c>
      <c r="N313" s="6">
        <v>120.703</v>
      </c>
      <c r="O313" s="6">
        <v>120.703</v>
      </c>
      <c r="P313" s="6">
        <v>67</v>
      </c>
      <c r="Q313" s="4" t="s">
        <v>26</v>
      </c>
      <c r="R313" s="4">
        <v>0</v>
      </c>
      <c r="S313" s="6">
        <v>0</v>
      </c>
      <c r="T313" s="6">
        <v>28</v>
      </c>
      <c r="U313" s="6">
        <v>76</v>
      </c>
      <c r="V313" s="6">
        <f>IF(ISERROR(VLOOKUP($S$313,'TAR FIN'!$A$1:$O$85,15,0)),0,VLOOKUP($S$313,'TAR FIN'!$A$1:$O$85,15,0))</f>
        <v>0</v>
      </c>
      <c r="W313" s="6">
        <f>IF(ISERROR(VLOOKUP($T$313,'TAR FIN'!$A$1:$O$85,15,0)),0,VLOOKUP($T$313,'TAR FIN'!$A$1:$O$85,15,0))</f>
        <v>609.05999999999995</v>
      </c>
      <c r="X313" s="6">
        <f>IF(ISERROR(VLOOKUP($U$313,'TAR FIN'!$A$1:$O$85,15,0)),0,VLOOKUP($U$313,'TAR FIN'!$A$1:$O$85,15,0))</f>
        <v>119.97</v>
      </c>
      <c r="Y313" s="6"/>
      <c r="Z313" s="6">
        <f ca="1">('TUSD BE'!$AM$48+'TUSD BF'!$AM$48+'TUSD CVA'!$AM$48)*1</f>
        <v>659.71654674120782</v>
      </c>
      <c r="AA313" s="6">
        <f>('TE BE'!$AB$38+'TE BF'!$AB$38+'TE CVA'!$AB$38)*1</f>
        <v>122.58638016056723</v>
      </c>
      <c r="AB313" s="6">
        <f>$K$313*$V$313</f>
        <v>0</v>
      </c>
      <c r="AC313" s="6">
        <f>$M$313*$W$313</f>
        <v>73515.369179999994</v>
      </c>
      <c r="AD313" s="6">
        <f>$O$313*$X$313</f>
        <v>14480.73891</v>
      </c>
      <c r="AE313" s="6">
        <f>$K$313*$Y$313</f>
        <v>0</v>
      </c>
      <c r="AF313" s="6">
        <f ca="1">$M$313*$Z$313</f>
        <v>79629.766341304014</v>
      </c>
      <c r="AG313" s="6">
        <f>$O$313*$AA$313</f>
        <v>14796.543844520947</v>
      </c>
    </row>
    <row r="314" spans="1:33" ht="11.25" customHeight="1" x14ac:dyDescent="0.3">
      <c r="A314" s="4" t="s">
        <v>52</v>
      </c>
      <c r="B314" s="4" t="s">
        <v>33</v>
      </c>
      <c r="C314" s="4" t="s">
        <v>23</v>
      </c>
      <c r="D314" s="4" t="s">
        <v>34</v>
      </c>
      <c r="E314" s="4" t="s">
        <v>25</v>
      </c>
      <c r="F314" s="4" t="s">
        <v>25</v>
      </c>
      <c r="G314" s="4" t="s">
        <v>25</v>
      </c>
      <c r="H314" s="4" t="s">
        <v>25</v>
      </c>
      <c r="I314" s="5">
        <v>44774</v>
      </c>
      <c r="J314" s="6">
        <v>0</v>
      </c>
      <c r="K314" s="6">
        <v>0</v>
      </c>
      <c r="L314" s="6">
        <v>-0.33900000000000002</v>
      </c>
      <c r="M314" s="6">
        <v>-0.33900000000000002</v>
      </c>
      <c r="N314" s="6">
        <v>-0.33900000000000002</v>
      </c>
      <c r="O314" s="6">
        <v>-0.33900000000000002</v>
      </c>
      <c r="P314" s="6">
        <v>0</v>
      </c>
      <c r="Q314" s="4" t="s">
        <v>26</v>
      </c>
      <c r="R314" s="4">
        <v>0</v>
      </c>
      <c r="S314" s="6">
        <v>0</v>
      </c>
      <c r="T314" s="6">
        <v>28</v>
      </c>
      <c r="U314" s="6">
        <v>76</v>
      </c>
      <c r="V314" s="6">
        <f>IF(ISERROR(VLOOKUP($S$314,'TAR FIN'!$A$1:$O$85,15,0)),0,VLOOKUP($S$314,'TAR FIN'!$A$1:$O$85,15,0))</f>
        <v>0</v>
      </c>
      <c r="W314" s="6">
        <f>IF(ISERROR(VLOOKUP($T$314,'TAR FIN'!$A$1:$O$85,15,0)),0,VLOOKUP($T$314,'TAR FIN'!$A$1:$O$85,15,0))</f>
        <v>609.05999999999995</v>
      </c>
      <c r="X314" s="6">
        <f>IF(ISERROR(VLOOKUP($U$314,'TAR FIN'!$A$1:$O$85,15,0)),0,VLOOKUP($U$314,'TAR FIN'!$A$1:$O$85,15,0))</f>
        <v>119.97</v>
      </c>
      <c r="Y314" s="6"/>
      <c r="Z314" s="6">
        <f ca="1">('TUSD BE'!$AM$48+'TUSD BF'!$AM$48+'TUSD CVA'!$AM$48)*1</f>
        <v>659.71654674120782</v>
      </c>
      <c r="AA314" s="6">
        <f>('TE BE'!$AB$38+'TE BF'!$AB$38+'TE CVA'!$AB$38)*1</f>
        <v>122.58638016056723</v>
      </c>
      <c r="AB314" s="6">
        <f>$K$314*$V$314</f>
        <v>0</v>
      </c>
      <c r="AC314" s="6">
        <f>$M$314*$W$314</f>
        <v>-206.47134</v>
      </c>
      <c r="AD314" s="6">
        <f>$O$314*$X$314</f>
        <v>-40.669830000000005</v>
      </c>
      <c r="AE314" s="6">
        <f>$K$314*$Y$314</f>
        <v>0</v>
      </c>
      <c r="AF314" s="6">
        <f ca="1">$M$314*$Z$314</f>
        <v>-223.64390934526946</v>
      </c>
      <c r="AG314" s="6">
        <f>$O$314*$AA$314</f>
        <v>-41.556782874432294</v>
      </c>
    </row>
    <row r="315" spans="1:33" ht="11.25" customHeight="1" x14ac:dyDescent="0.3">
      <c r="A315" s="4" t="s">
        <v>52</v>
      </c>
      <c r="B315" s="4" t="s">
        <v>33</v>
      </c>
      <c r="C315" s="4" t="s">
        <v>23</v>
      </c>
      <c r="D315" s="4" t="s">
        <v>34</v>
      </c>
      <c r="E315" s="4" t="s">
        <v>25</v>
      </c>
      <c r="F315" s="4" t="s">
        <v>25</v>
      </c>
      <c r="G315" s="4" t="s">
        <v>25</v>
      </c>
      <c r="H315" s="4" t="s">
        <v>25</v>
      </c>
      <c r="I315" s="5">
        <v>44774</v>
      </c>
      <c r="J315" s="6">
        <v>0</v>
      </c>
      <c r="K315" s="6">
        <v>0</v>
      </c>
      <c r="L315" s="6">
        <v>2.363</v>
      </c>
      <c r="M315" s="6">
        <v>2.363</v>
      </c>
      <c r="N315" s="6">
        <v>2.363</v>
      </c>
      <c r="O315" s="6">
        <v>2.363</v>
      </c>
      <c r="P315" s="6">
        <v>2</v>
      </c>
      <c r="Q315" s="4" t="s">
        <v>26</v>
      </c>
      <c r="R315" s="4">
        <v>0</v>
      </c>
      <c r="S315" s="6">
        <v>0</v>
      </c>
      <c r="T315" s="6">
        <v>28</v>
      </c>
      <c r="U315" s="6">
        <v>76</v>
      </c>
      <c r="V315" s="6">
        <f>IF(ISERROR(VLOOKUP($S$315,'TAR FIN'!$A$1:$O$85,15,0)),0,VLOOKUP($S$315,'TAR FIN'!$A$1:$O$85,15,0))</f>
        <v>0</v>
      </c>
      <c r="W315" s="6">
        <f>IF(ISERROR(VLOOKUP($T$315,'TAR FIN'!$A$1:$O$85,15,0)),0,VLOOKUP($T$315,'TAR FIN'!$A$1:$O$85,15,0))</f>
        <v>609.05999999999995</v>
      </c>
      <c r="X315" s="6">
        <f>IF(ISERROR(VLOOKUP($U$315,'TAR FIN'!$A$1:$O$85,15,0)),0,VLOOKUP($U$315,'TAR FIN'!$A$1:$O$85,15,0))</f>
        <v>119.97</v>
      </c>
      <c r="Y315" s="6"/>
      <c r="Z315" s="6">
        <f ca="1">('TUSD BE'!$AM$48+'TUSD BF'!$AM$48+'TUSD CVA'!$AM$48)*1</f>
        <v>659.71654674120782</v>
      </c>
      <c r="AA315" s="6">
        <f>('TE BE'!$AB$38+'TE BF'!$AB$38+'TE CVA'!$AB$38)*1</f>
        <v>122.58638016056723</v>
      </c>
      <c r="AB315" s="6">
        <f>$K$315*$V$315</f>
        <v>0</v>
      </c>
      <c r="AC315" s="6">
        <f>$M$315*$W$315</f>
        <v>1439.2087799999999</v>
      </c>
      <c r="AD315" s="6">
        <f>$O$315*$X$315</f>
        <v>283.48910999999998</v>
      </c>
      <c r="AE315" s="6">
        <f>$K$315*$Y$315</f>
        <v>0</v>
      </c>
      <c r="AF315" s="6">
        <f ca="1">$M$315*$Z$315</f>
        <v>1558.910199949474</v>
      </c>
      <c r="AG315" s="6">
        <f>$O$315*$AA$315</f>
        <v>289.67161631942037</v>
      </c>
    </row>
    <row r="316" spans="1:33" ht="11.25" customHeight="1" x14ac:dyDescent="0.3">
      <c r="A316" s="4" t="s">
        <v>21</v>
      </c>
      <c r="B316" s="4" t="s">
        <v>33</v>
      </c>
      <c r="C316" s="4" t="s">
        <v>23</v>
      </c>
      <c r="D316" s="4" t="s">
        <v>44</v>
      </c>
      <c r="E316" s="4" t="s">
        <v>25</v>
      </c>
      <c r="F316" s="4" t="s">
        <v>25</v>
      </c>
      <c r="G316" s="4" t="s">
        <v>25</v>
      </c>
      <c r="H316" s="4" t="s">
        <v>25</v>
      </c>
      <c r="I316" s="5">
        <v>44440</v>
      </c>
      <c r="J316" s="6">
        <v>0</v>
      </c>
      <c r="K316" s="6">
        <v>0</v>
      </c>
      <c r="L316" s="6">
        <v>22.864000000000001</v>
      </c>
      <c r="M316" s="6">
        <v>22.864000000000001</v>
      </c>
      <c r="N316" s="6">
        <v>22.864000000000001</v>
      </c>
      <c r="O316" s="6">
        <v>22.864000000000001</v>
      </c>
      <c r="P316" s="6">
        <v>82</v>
      </c>
      <c r="Q316" s="4" t="s">
        <v>26</v>
      </c>
      <c r="R316" s="4">
        <v>0</v>
      </c>
      <c r="S316" s="6">
        <v>0</v>
      </c>
      <c r="T316" s="6">
        <v>28</v>
      </c>
      <c r="U316" s="6">
        <v>76</v>
      </c>
      <c r="V316" s="6">
        <f>IF(ISERROR(VLOOKUP($S$316,'TAR FIN'!$A$1:$O$85,15,0)),0,VLOOKUP($S$316,'TAR FIN'!$A$1:$O$85,15,0))</f>
        <v>0</v>
      </c>
      <c r="W316" s="6">
        <f>IF(ISERROR(VLOOKUP($T$316,'TAR FIN'!$A$1:$O$85,15,0)),0,VLOOKUP($T$316,'TAR FIN'!$A$1:$O$85,15,0))</f>
        <v>609.05999999999995</v>
      </c>
      <c r="X316" s="6">
        <f>IF(ISERROR(VLOOKUP($U$316,'TAR FIN'!$A$1:$O$85,15,0)),0,VLOOKUP($U$316,'TAR FIN'!$A$1:$O$85,15,0))</f>
        <v>119.97</v>
      </c>
      <c r="Y316" s="6"/>
      <c r="Z316" s="6">
        <f ca="1">('TUSD BE'!$AM$48+'TUSD BF'!$AM$48+'TUSD CVA'!$AM$48)*1</f>
        <v>659.71654674120782</v>
      </c>
      <c r="AA316" s="6">
        <f>('TE BE'!$AB$38+'TE BF'!$AB$38+'TE CVA'!$AB$38)*1</f>
        <v>122.58638016056723</v>
      </c>
      <c r="AB316" s="6">
        <f>$K$316*$V$316</f>
        <v>0</v>
      </c>
      <c r="AC316" s="6">
        <f>$M$316*$W$316</f>
        <v>13925.547839999999</v>
      </c>
      <c r="AD316" s="6">
        <f>$O$316*$X$316</f>
        <v>2742.9940799999999</v>
      </c>
      <c r="AE316" s="6">
        <f>$K$316*$Y$316</f>
        <v>0</v>
      </c>
      <c r="AF316" s="6">
        <f ca="1">$M$316*$Z$316</f>
        <v>15083.759124690976</v>
      </c>
      <c r="AG316" s="6">
        <f>$O$316*$AA$316</f>
        <v>2802.8149959912093</v>
      </c>
    </row>
    <row r="317" spans="1:33" ht="11.25" customHeight="1" x14ac:dyDescent="0.3">
      <c r="A317" s="4" t="s">
        <v>21</v>
      </c>
      <c r="B317" s="4" t="s">
        <v>33</v>
      </c>
      <c r="C317" s="4" t="s">
        <v>23</v>
      </c>
      <c r="D317" s="4" t="s">
        <v>44</v>
      </c>
      <c r="E317" s="4" t="s">
        <v>25</v>
      </c>
      <c r="F317" s="4" t="s">
        <v>25</v>
      </c>
      <c r="G317" s="4" t="s">
        <v>25</v>
      </c>
      <c r="H317" s="4" t="s">
        <v>25</v>
      </c>
      <c r="I317" s="5">
        <v>44470</v>
      </c>
      <c r="J317" s="6">
        <v>0</v>
      </c>
      <c r="K317" s="6">
        <v>0</v>
      </c>
      <c r="L317" s="6">
        <v>24.074999999999999</v>
      </c>
      <c r="M317" s="6">
        <v>24.074999999999999</v>
      </c>
      <c r="N317" s="6">
        <v>24.074999999999999</v>
      </c>
      <c r="O317" s="6">
        <v>24.074999999999999</v>
      </c>
      <c r="P317" s="6">
        <v>81</v>
      </c>
      <c r="Q317" s="4" t="s">
        <v>26</v>
      </c>
      <c r="R317" s="4">
        <v>0</v>
      </c>
      <c r="S317" s="6">
        <v>0</v>
      </c>
      <c r="T317" s="6">
        <v>28</v>
      </c>
      <c r="U317" s="6">
        <v>76</v>
      </c>
      <c r="V317" s="6">
        <f>IF(ISERROR(VLOOKUP($S$317,'TAR FIN'!$A$1:$O$85,15,0)),0,VLOOKUP($S$317,'TAR FIN'!$A$1:$O$85,15,0))</f>
        <v>0</v>
      </c>
      <c r="W317" s="6">
        <f>IF(ISERROR(VLOOKUP($T$317,'TAR FIN'!$A$1:$O$85,15,0)),0,VLOOKUP($T$317,'TAR FIN'!$A$1:$O$85,15,0))</f>
        <v>609.05999999999995</v>
      </c>
      <c r="X317" s="6">
        <f>IF(ISERROR(VLOOKUP($U$317,'TAR FIN'!$A$1:$O$85,15,0)),0,VLOOKUP($U$317,'TAR FIN'!$A$1:$O$85,15,0))</f>
        <v>119.97</v>
      </c>
      <c r="Y317" s="6"/>
      <c r="Z317" s="6">
        <f ca="1">('TUSD BE'!$AM$48+'TUSD BF'!$AM$48+'TUSD CVA'!$AM$48)*1</f>
        <v>659.71654674120782</v>
      </c>
      <c r="AA317" s="6">
        <f>('TE BE'!$AB$38+'TE BF'!$AB$38+'TE CVA'!$AB$38)*1</f>
        <v>122.58638016056723</v>
      </c>
      <c r="AB317" s="6">
        <f>$K$317*$V$317</f>
        <v>0</v>
      </c>
      <c r="AC317" s="6">
        <f>$M$317*$W$317</f>
        <v>14663.119499999999</v>
      </c>
      <c r="AD317" s="6">
        <f>$O$317*$X$317</f>
        <v>2888.2777499999997</v>
      </c>
      <c r="AE317" s="6">
        <f>$K$317*$Y$317</f>
        <v>0</v>
      </c>
      <c r="AF317" s="6">
        <f ca="1">$M$317*$Z$317</f>
        <v>15882.675862794578</v>
      </c>
      <c r="AG317" s="6">
        <f>$O$317*$AA$317</f>
        <v>2951.2671023656558</v>
      </c>
    </row>
    <row r="318" spans="1:33" ht="11.25" customHeight="1" x14ac:dyDescent="0.3">
      <c r="A318" s="4" t="s">
        <v>21</v>
      </c>
      <c r="B318" s="4" t="s">
        <v>33</v>
      </c>
      <c r="C318" s="4" t="s">
        <v>23</v>
      </c>
      <c r="D318" s="4" t="s">
        <v>44</v>
      </c>
      <c r="E318" s="4" t="s">
        <v>25</v>
      </c>
      <c r="F318" s="4" t="s">
        <v>25</v>
      </c>
      <c r="G318" s="4" t="s">
        <v>25</v>
      </c>
      <c r="H318" s="4" t="s">
        <v>25</v>
      </c>
      <c r="I318" s="5">
        <v>44501</v>
      </c>
      <c r="J318" s="6">
        <v>0</v>
      </c>
      <c r="K318" s="6">
        <v>0</v>
      </c>
      <c r="L318" s="6">
        <v>27.227</v>
      </c>
      <c r="M318" s="6">
        <v>27.227</v>
      </c>
      <c r="N318" s="6">
        <v>27.227</v>
      </c>
      <c r="O318" s="6">
        <v>27.227</v>
      </c>
      <c r="P318" s="6">
        <v>81</v>
      </c>
      <c r="Q318" s="4" t="s">
        <v>26</v>
      </c>
      <c r="R318" s="4">
        <v>0</v>
      </c>
      <c r="S318" s="6">
        <v>0</v>
      </c>
      <c r="T318" s="6">
        <v>28</v>
      </c>
      <c r="U318" s="6">
        <v>76</v>
      </c>
      <c r="V318" s="6">
        <f>IF(ISERROR(VLOOKUP($S$318,'TAR FIN'!$A$1:$O$85,15,0)),0,VLOOKUP($S$318,'TAR FIN'!$A$1:$O$85,15,0))</f>
        <v>0</v>
      </c>
      <c r="W318" s="6">
        <f>IF(ISERROR(VLOOKUP($T$318,'TAR FIN'!$A$1:$O$85,15,0)),0,VLOOKUP($T$318,'TAR FIN'!$A$1:$O$85,15,0))</f>
        <v>609.05999999999995</v>
      </c>
      <c r="X318" s="6">
        <f>IF(ISERROR(VLOOKUP($U$318,'TAR FIN'!$A$1:$O$85,15,0)),0,VLOOKUP($U$318,'TAR FIN'!$A$1:$O$85,15,0))</f>
        <v>119.97</v>
      </c>
      <c r="Y318" s="6"/>
      <c r="Z318" s="6">
        <f ca="1">('TUSD BE'!$AM$48+'TUSD BF'!$AM$48+'TUSD CVA'!$AM$48)*1</f>
        <v>659.71654674120782</v>
      </c>
      <c r="AA318" s="6">
        <f>('TE BE'!$AB$38+'TE BF'!$AB$38+'TE CVA'!$AB$38)*1</f>
        <v>122.58638016056723</v>
      </c>
      <c r="AB318" s="6">
        <f>$K$318*$V$318</f>
        <v>0</v>
      </c>
      <c r="AC318" s="6">
        <f>$M$318*$W$318</f>
        <v>16582.876619999999</v>
      </c>
      <c r="AD318" s="6">
        <f>$O$318*$X$318</f>
        <v>3266.42319</v>
      </c>
      <c r="AE318" s="6">
        <f>$K$318*$Y$318</f>
        <v>0</v>
      </c>
      <c r="AF318" s="6">
        <f ca="1">$M$318*$Z$318</f>
        <v>17962.102418122864</v>
      </c>
      <c r="AG318" s="6">
        <f>$O$318*$AA$318</f>
        <v>3337.6593726317642</v>
      </c>
    </row>
    <row r="319" spans="1:33" ht="11.25" customHeight="1" x14ac:dyDescent="0.3">
      <c r="A319" s="4" t="s">
        <v>21</v>
      </c>
      <c r="B319" s="4" t="s">
        <v>33</v>
      </c>
      <c r="C319" s="4" t="s">
        <v>23</v>
      </c>
      <c r="D319" s="4" t="s">
        <v>44</v>
      </c>
      <c r="E319" s="4" t="s">
        <v>25</v>
      </c>
      <c r="F319" s="4" t="s">
        <v>25</v>
      </c>
      <c r="G319" s="4" t="s">
        <v>25</v>
      </c>
      <c r="H319" s="4" t="s">
        <v>25</v>
      </c>
      <c r="I319" s="5">
        <v>44531</v>
      </c>
      <c r="J319" s="6">
        <v>0</v>
      </c>
      <c r="K319" s="6">
        <v>0</v>
      </c>
      <c r="L319" s="6">
        <v>26.853000000000002</v>
      </c>
      <c r="M319" s="6">
        <v>26.853000000000002</v>
      </c>
      <c r="N319" s="6">
        <v>26.853000000000002</v>
      </c>
      <c r="O319" s="6">
        <v>26.853000000000002</v>
      </c>
      <c r="P319" s="6">
        <v>81</v>
      </c>
      <c r="Q319" s="4" t="s">
        <v>26</v>
      </c>
      <c r="R319" s="4">
        <v>0</v>
      </c>
      <c r="S319" s="6">
        <v>0</v>
      </c>
      <c r="T319" s="6">
        <v>28</v>
      </c>
      <c r="U319" s="6">
        <v>76</v>
      </c>
      <c r="V319" s="6">
        <f>IF(ISERROR(VLOOKUP($S$319,'TAR FIN'!$A$1:$O$85,15,0)),0,VLOOKUP($S$319,'TAR FIN'!$A$1:$O$85,15,0))</f>
        <v>0</v>
      </c>
      <c r="W319" s="6">
        <f>IF(ISERROR(VLOOKUP($T$319,'TAR FIN'!$A$1:$O$85,15,0)),0,VLOOKUP($T$319,'TAR FIN'!$A$1:$O$85,15,0))</f>
        <v>609.05999999999995</v>
      </c>
      <c r="X319" s="6">
        <f>IF(ISERROR(VLOOKUP($U$319,'TAR FIN'!$A$1:$O$85,15,0)),0,VLOOKUP($U$319,'TAR FIN'!$A$1:$O$85,15,0))</f>
        <v>119.97</v>
      </c>
      <c r="Y319" s="6"/>
      <c r="Z319" s="6">
        <f ca="1">('TUSD BE'!$AM$48+'TUSD BF'!$AM$48+'TUSD CVA'!$AM$48)*1</f>
        <v>659.71654674120782</v>
      </c>
      <c r="AA319" s="6">
        <f>('TE BE'!$AB$38+'TE BF'!$AB$38+'TE CVA'!$AB$38)*1</f>
        <v>122.58638016056723</v>
      </c>
      <c r="AB319" s="6">
        <f>$K$319*$V$319</f>
        <v>0</v>
      </c>
      <c r="AC319" s="6">
        <f>$M$319*$W$319</f>
        <v>16355.088179999999</v>
      </c>
      <c r="AD319" s="6">
        <f>$O$319*$X$319</f>
        <v>3221.5544100000002</v>
      </c>
      <c r="AE319" s="6">
        <f>$K$319*$Y$319</f>
        <v>0</v>
      </c>
      <c r="AF319" s="6">
        <f ca="1">$M$319*$Z$319</f>
        <v>17715.368429641654</v>
      </c>
      <c r="AG319" s="6">
        <f>$O$319*$AA$319</f>
        <v>3291.8120664517119</v>
      </c>
    </row>
    <row r="320" spans="1:33" ht="11.25" customHeight="1" x14ac:dyDescent="0.3">
      <c r="A320" s="4" t="s">
        <v>21</v>
      </c>
      <c r="B320" s="4" t="s">
        <v>33</v>
      </c>
      <c r="C320" s="4" t="s">
        <v>23</v>
      </c>
      <c r="D320" s="4" t="s">
        <v>44</v>
      </c>
      <c r="E320" s="4" t="s">
        <v>25</v>
      </c>
      <c r="F320" s="4" t="s">
        <v>25</v>
      </c>
      <c r="G320" s="4" t="s">
        <v>25</v>
      </c>
      <c r="H320" s="4" t="s">
        <v>25</v>
      </c>
      <c r="I320" s="5">
        <v>44562</v>
      </c>
      <c r="J320" s="6">
        <v>0</v>
      </c>
      <c r="K320" s="6">
        <v>0</v>
      </c>
      <c r="L320" s="6">
        <v>111.35599999999999</v>
      </c>
      <c r="M320" s="6">
        <v>111.35599999999999</v>
      </c>
      <c r="N320" s="6">
        <v>111.35599999999999</v>
      </c>
      <c r="O320" s="6">
        <v>111.35599999999999</v>
      </c>
      <c r="P320" s="6">
        <v>81</v>
      </c>
      <c r="Q320" s="4" t="s">
        <v>26</v>
      </c>
      <c r="R320" s="4">
        <v>0</v>
      </c>
      <c r="S320" s="6">
        <v>0</v>
      </c>
      <c r="T320" s="6">
        <v>28</v>
      </c>
      <c r="U320" s="6">
        <v>76</v>
      </c>
      <c r="V320" s="6">
        <f>IF(ISERROR(VLOOKUP($S$320,'TAR FIN'!$A$1:$O$85,15,0)),0,VLOOKUP($S$320,'TAR FIN'!$A$1:$O$85,15,0))</f>
        <v>0</v>
      </c>
      <c r="W320" s="6">
        <f>IF(ISERROR(VLOOKUP($T$320,'TAR FIN'!$A$1:$O$85,15,0)),0,VLOOKUP($T$320,'TAR FIN'!$A$1:$O$85,15,0))</f>
        <v>609.05999999999995</v>
      </c>
      <c r="X320" s="6">
        <f>IF(ISERROR(VLOOKUP($U$320,'TAR FIN'!$A$1:$O$85,15,0)),0,VLOOKUP($U$320,'TAR FIN'!$A$1:$O$85,15,0))</f>
        <v>119.97</v>
      </c>
      <c r="Y320" s="6"/>
      <c r="Z320" s="6">
        <f ca="1">('TUSD BE'!$AM$48+'TUSD BF'!$AM$48+'TUSD CVA'!$AM$48)*1</f>
        <v>659.71654674120782</v>
      </c>
      <c r="AA320" s="6">
        <f>('TE BE'!$AB$38+'TE BF'!$AB$38+'TE CVA'!$AB$38)*1</f>
        <v>122.58638016056723</v>
      </c>
      <c r="AB320" s="6">
        <f>$K$320*$V$320</f>
        <v>0</v>
      </c>
      <c r="AC320" s="6">
        <f>$M$320*$W$320</f>
        <v>67822.485359999991</v>
      </c>
      <c r="AD320" s="6">
        <f>$O$320*$X$320</f>
        <v>13359.37932</v>
      </c>
      <c r="AE320" s="6">
        <f>$K$320*$Y$320</f>
        <v>0</v>
      </c>
      <c r="AF320" s="6">
        <f ca="1">$M$320*$Z$320</f>
        <v>73463.395778913939</v>
      </c>
      <c r="AG320" s="6">
        <f>$O$320*$AA$320</f>
        <v>13650.728949160124</v>
      </c>
    </row>
    <row r="321" spans="1:33" ht="11.25" customHeight="1" x14ac:dyDescent="0.3">
      <c r="A321" s="4" t="s">
        <v>27</v>
      </c>
      <c r="B321" s="4" t="s">
        <v>33</v>
      </c>
      <c r="C321" s="4" t="s">
        <v>23</v>
      </c>
      <c r="D321" s="4" t="s">
        <v>44</v>
      </c>
      <c r="E321" s="4" t="s">
        <v>25</v>
      </c>
      <c r="F321" s="4" t="s">
        <v>25</v>
      </c>
      <c r="G321" s="4" t="s">
        <v>25</v>
      </c>
      <c r="H321" s="4" t="s">
        <v>25</v>
      </c>
      <c r="I321" s="5">
        <v>44562</v>
      </c>
      <c r="J321" s="6">
        <v>0</v>
      </c>
      <c r="K321" s="6">
        <v>0</v>
      </c>
      <c r="L321" s="6">
        <v>-87.14</v>
      </c>
      <c r="M321" s="6">
        <v>-87.14</v>
      </c>
      <c r="N321" s="6">
        <v>-87.14</v>
      </c>
      <c r="O321" s="6">
        <v>-87.14</v>
      </c>
      <c r="P321" s="6">
        <v>0</v>
      </c>
      <c r="Q321" s="4" t="s">
        <v>26</v>
      </c>
      <c r="R321" s="4">
        <v>0</v>
      </c>
      <c r="S321" s="6">
        <v>0</v>
      </c>
      <c r="T321" s="6">
        <v>28</v>
      </c>
      <c r="U321" s="6">
        <v>76</v>
      </c>
      <c r="V321" s="6">
        <f>IF(ISERROR(VLOOKUP($S$321,'TAR FIN'!$A$1:$O$85,15,0)),0,VLOOKUP($S$321,'TAR FIN'!$A$1:$O$85,15,0))</f>
        <v>0</v>
      </c>
      <c r="W321" s="6">
        <f>IF(ISERROR(VLOOKUP($T$321,'TAR FIN'!$A$1:$O$85,15,0)),0,VLOOKUP($T$321,'TAR FIN'!$A$1:$O$85,15,0))</f>
        <v>609.05999999999995</v>
      </c>
      <c r="X321" s="6">
        <f>IF(ISERROR(VLOOKUP($U$321,'TAR FIN'!$A$1:$O$85,15,0)),0,VLOOKUP($U$321,'TAR FIN'!$A$1:$O$85,15,0))</f>
        <v>119.97</v>
      </c>
      <c r="Y321" s="6"/>
      <c r="Z321" s="6">
        <f ca="1">('TUSD BE'!$AM$48+'TUSD BF'!$AM$48+'TUSD CVA'!$AM$48)*1</f>
        <v>659.71654674120782</v>
      </c>
      <c r="AA321" s="6">
        <f>('TE BE'!$AB$38+'TE BF'!$AB$38+'TE CVA'!$AB$38)*1</f>
        <v>122.58638016056723</v>
      </c>
      <c r="AB321" s="6">
        <f>$K$321*$V$321</f>
        <v>0</v>
      </c>
      <c r="AC321" s="6">
        <f>$M$321*$W$321</f>
        <v>-53073.488399999995</v>
      </c>
      <c r="AD321" s="6">
        <f>$O$321*$X$321</f>
        <v>-10454.185799999999</v>
      </c>
      <c r="AE321" s="6">
        <f>$K$321*$Y$321</f>
        <v>0</v>
      </c>
      <c r="AF321" s="6">
        <f ca="1">$M$321*$Z$321</f>
        <v>-57487.69988302885</v>
      </c>
      <c r="AG321" s="6">
        <f>$O$321*$AA$321</f>
        <v>-10682.177167191829</v>
      </c>
    </row>
    <row r="322" spans="1:33" ht="11.25" customHeight="1" x14ac:dyDescent="0.3">
      <c r="A322" s="4" t="s">
        <v>21</v>
      </c>
      <c r="B322" s="4" t="s">
        <v>33</v>
      </c>
      <c r="C322" s="4" t="s">
        <v>23</v>
      </c>
      <c r="D322" s="4" t="s">
        <v>44</v>
      </c>
      <c r="E322" s="4" t="s">
        <v>25</v>
      </c>
      <c r="F322" s="4" t="s">
        <v>25</v>
      </c>
      <c r="G322" s="4" t="s">
        <v>25</v>
      </c>
      <c r="H322" s="4" t="s">
        <v>25</v>
      </c>
      <c r="I322" s="5">
        <v>44593</v>
      </c>
      <c r="J322" s="6">
        <v>0</v>
      </c>
      <c r="K322" s="6">
        <v>0</v>
      </c>
      <c r="L322" s="6">
        <v>34.493000000000002</v>
      </c>
      <c r="M322" s="6">
        <v>34.493000000000002</v>
      </c>
      <c r="N322" s="6">
        <v>34.493000000000002</v>
      </c>
      <c r="O322" s="6">
        <v>34.493000000000002</v>
      </c>
      <c r="P322" s="6">
        <v>82</v>
      </c>
      <c r="Q322" s="4" t="s">
        <v>26</v>
      </c>
      <c r="R322" s="4">
        <v>0</v>
      </c>
      <c r="S322" s="6">
        <v>0</v>
      </c>
      <c r="T322" s="6">
        <v>28</v>
      </c>
      <c r="U322" s="6">
        <v>76</v>
      </c>
      <c r="V322" s="6">
        <f>IF(ISERROR(VLOOKUP($S$322,'TAR FIN'!$A$1:$O$85,15,0)),0,VLOOKUP($S$322,'TAR FIN'!$A$1:$O$85,15,0))</f>
        <v>0</v>
      </c>
      <c r="W322" s="6">
        <f>IF(ISERROR(VLOOKUP($T$322,'TAR FIN'!$A$1:$O$85,15,0)),0,VLOOKUP($T$322,'TAR FIN'!$A$1:$O$85,15,0))</f>
        <v>609.05999999999995</v>
      </c>
      <c r="X322" s="6">
        <f>IF(ISERROR(VLOOKUP($U$322,'TAR FIN'!$A$1:$O$85,15,0)),0,VLOOKUP($U$322,'TAR FIN'!$A$1:$O$85,15,0))</f>
        <v>119.97</v>
      </c>
      <c r="Y322" s="6"/>
      <c r="Z322" s="6">
        <f ca="1">('TUSD BE'!$AM$48+'TUSD BF'!$AM$48+'TUSD CVA'!$AM$48)*1</f>
        <v>659.71654674120782</v>
      </c>
      <c r="AA322" s="6">
        <f>('TE BE'!$AB$38+'TE BF'!$AB$38+'TE CVA'!$AB$38)*1</f>
        <v>122.58638016056723</v>
      </c>
      <c r="AB322" s="6">
        <f>$K$322*$V$322</f>
        <v>0</v>
      </c>
      <c r="AC322" s="6">
        <f>$M$322*$W$322</f>
        <v>21008.30658</v>
      </c>
      <c r="AD322" s="6">
        <f>$O$322*$X$322</f>
        <v>4138.1252100000002</v>
      </c>
      <c r="AE322" s="6">
        <f>$K$322*$Y$322</f>
        <v>0</v>
      </c>
      <c r="AF322" s="6">
        <f ca="1">$M$322*$Z$322</f>
        <v>22755.602846744481</v>
      </c>
      <c r="AG322" s="6">
        <f>$O$322*$AA$322</f>
        <v>4228.3720108784455</v>
      </c>
    </row>
    <row r="323" spans="1:33" ht="11.25" customHeight="1" x14ac:dyDescent="0.3">
      <c r="A323" s="4" t="s">
        <v>21</v>
      </c>
      <c r="B323" s="4" t="s">
        <v>33</v>
      </c>
      <c r="C323" s="4" t="s">
        <v>23</v>
      </c>
      <c r="D323" s="4" t="s">
        <v>44</v>
      </c>
      <c r="E323" s="4" t="s">
        <v>25</v>
      </c>
      <c r="F323" s="4" t="s">
        <v>25</v>
      </c>
      <c r="G323" s="4" t="s">
        <v>25</v>
      </c>
      <c r="H323" s="4" t="s">
        <v>25</v>
      </c>
      <c r="I323" s="5">
        <v>44621</v>
      </c>
      <c r="J323" s="6">
        <v>0</v>
      </c>
      <c r="K323" s="6">
        <v>0</v>
      </c>
      <c r="L323" s="6">
        <v>41.313000000000002</v>
      </c>
      <c r="M323" s="6">
        <v>41.313000000000002</v>
      </c>
      <c r="N323" s="6">
        <v>41.313000000000002</v>
      </c>
      <c r="O323" s="6">
        <v>41.313000000000002</v>
      </c>
      <c r="P323" s="6">
        <v>83</v>
      </c>
      <c r="Q323" s="4" t="s">
        <v>26</v>
      </c>
      <c r="R323" s="4">
        <v>0</v>
      </c>
      <c r="S323" s="6">
        <v>0</v>
      </c>
      <c r="T323" s="6">
        <v>28</v>
      </c>
      <c r="U323" s="6">
        <v>76</v>
      </c>
      <c r="V323" s="6">
        <f>IF(ISERROR(VLOOKUP($S$323,'TAR FIN'!$A$1:$O$85,15,0)),0,VLOOKUP($S$323,'TAR FIN'!$A$1:$O$85,15,0))</f>
        <v>0</v>
      </c>
      <c r="W323" s="6">
        <f>IF(ISERROR(VLOOKUP($T$323,'TAR FIN'!$A$1:$O$85,15,0)),0,VLOOKUP($T$323,'TAR FIN'!$A$1:$O$85,15,0))</f>
        <v>609.05999999999995</v>
      </c>
      <c r="X323" s="6">
        <f>IF(ISERROR(VLOOKUP($U$323,'TAR FIN'!$A$1:$O$85,15,0)),0,VLOOKUP($U$323,'TAR FIN'!$A$1:$O$85,15,0))</f>
        <v>119.97</v>
      </c>
      <c r="Y323" s="6"/>
      <c r="Z323" s="6">
        <f ca="1">('TUSD BE'!$AM$48+'TUSD BF'!$AM$48+'TUSD CVA'!$AM$48)*1</f>
        <v>659.71654674120782</v>
      </c>
      <c r="AA323" s="6">
        <f>('TE BE'!$AB$38+'TE BF'!$AB$38+'TE CVA'!$AB$38)*1</f>
        <v>122.58638016056723</v>
      </c>
      <c r="AB323" s="6">
        <f>$K$323*$V$323</f>
        <v>0</v>
      </c>
      <c r="AC323" s="6">
        <f>$M$323*$W$323</f>
        <v>25162.09578</v>
      </c>
      <c r="AD323" s="6">
        <f>$O$323*$X$323</f>
        <v>4956.3206100000007</v>
      </c>
      <c r="AE323" s="6">
        <f>$K$323*$Y$323</f>
        <v>0</v>
      </c>
      <c r="AF323" s="6">
        <f ca="1">$M$323*$Z$323</f>
        <v>27254.869695519519</v>
      </c>
      <c r="AG323" s="6">
        <f>$O$323*$AA$323</f>
        <v>5064.4111235735145</v>
      </c>
    </row>
    <row r="324" spans="1:33" ht="11.25" customHeight="1" x14ac:dyDescent="0.3">
      <c r="A324" s="4" t="s">
        <v>21</v>
      </c>
      <c r="B324" s="4" t="s">
        <v>33</v>
      </c>
      <c r="C324" s="4" t="s">
        <v>23</v>
      </c>
      <c r="D324" s="4" t="s">
        <v>44</v>
      </c>
      <c r="E324" s="4" t="s">
        <v>25</v>
      </c>
      <c r="F324" s="4" t="s">
        <v>25</v>
      </c>
      <c r="G324" s="4" t="s">
        <v>25</v>
      </c>
      <c r="H324" s="4" t="s">
        <v>25</v>
      </c>
      <c r="I324" s="5">
        <v>44652</v>
      </c>
      <c r="J324" s="6">
        <v>0</v>
      </c>
      <c r="K324" s="6">
        <v>0</v>
      </c>
      <c r="L324" s="6">
        <v>25.792000000000002</v>
      </c>
      <c r="M324" s="6">
        <v>25.792000000000002</v>
      </c>
      <c r="N324" s="6">
        <v>25.792000000000002</v>
      </c>
      <c r="O324" s="6">
        <v>25.792000000000002</v>
      </c>
      <c r="P324" s="6">
        <v>83</v>
      </c>
      <c r="Q324" s="4" t="s">
        <v>26</v>
      </c>
      <c r="R324" s="4">
        <v>0</v>
      </c>
      <c r="S324" s="6">
        <v>0</v>
      </c>
      <c r="T324" s="6">
        <v>28</v>
      </c>
      <c r="U324" s="6">
        <v>76</v>
      </c>
      <c r="V324" s="6">
        <f>IF(ISERROR(VLOOKUP($S$324,'TAR FIN'!$A$1:$O$85,15,0)),0,VLOOKUP($S$324,'TAR FIN'!$A$1:$O$85,15,0))</f>
        <v>0</v>
      </c>
      <c r="W324" s="6">
        <f>IF(ISERROR(VLOOKUP($T$324,'TAR FIN'!$A$1:$O$85,15,0)),0,VLOOKUP($T$324,'TAR FIN'!$A$1:$O$85,15,0))</f>
        <v>609.05999999999995</v>
      </c>
      <c r="X324" s="6">
        <f>IF(ISERROR(VLOOKUP($U$324,'TAR FIN'!$A$1:$O$85,15,0)),0,VLOOKUP($U$324,'TAR FIN'!$A$1:$O$85,15,0))</f>
        <v>119.97</v>
      </c>
      <c r="Y324" s="6"/>
      <c r="Z324" s="6">
        <f ca="1">('TUSD BE'!$AM$48+'TUSD BF'!$AM$48+'TUSD CVA'!$AM$48)*1</f>
        <v>659.71654674120782</v>
      </c>
      <c r="AA324" s="6">
        <f>('TE BE'!$AB$38+'TE BF'!$AB$38+'TE CVA'!$AB$38)*1</f>
        <v>122.58638016056723</v>
      </c>
      <c r="AB324" s="6">
        <f>$K$324*$V$324</f>
        <v>0</v>
      </c>
      <c r="AC324" s="6">
        <f>$M$324*$W$324</f>
        <v>15708.87552</v>
      </c>
      <c r="AD324" s="6">
        <f>$O$324*$X$324</f>
        <v>3094.2662400000004</v>
      </c>
      <c r="AE324" s="6">
        <f>$K$324*$Y$324</f>
        <v>0</v>
      </c>
      <c r="AF324" s="6">
        <f ca="1">$M$324*$Z$324</f>
        <v>17015.409173549233</v>
      </c>
      <c r="AG324" s="6">
        <f>$O$324*$AA$324</f>
        <v>3161.7479171013501</v>
      </c>
    </row>
    <row r="325" spans="1:33" ht="11.25" customHeight="1" x14ac:dyDescent="0.3">
      <c r="A325" s="4" t="s">
        <v>21</v>
      </c>
      <c r="B325" s="4" t="s">
        <v>33</v>
      </c>
      <c r="C325" s="4" t="s">
        <v>23</v>
      </c>
      <c r="D325" s="4" t="s">
        <v>44</v>
      </c>
      <c r="E325" s="4" t="s">
        <v>25</v>
      </c>
      <c r="F325" s="4" t="s">
        <v>25</v>
      </c>
      <c r="G325" s="4" t="s">
        <v>25</v>
      </c>
      <c r="H325" s="4" t="s">
        <v>25</v>
      </c>
      <c r="I325" s="5">
        <v>44682</v>
      </c>
      <c r="J325" s="6">
        <v>0</v>
      </c>
      <c r="K325" s="6">
        <v>0</v>
      </c>
      <c r="L325" s="6">
        <v>25.332999999999998</v>
      </c>
      <c r="M325" s="6">
        <v>25.332999999999998</v>
      </c>
      <c r="N325" s="6">
        <v>25.332999999999998</v>
      </c>
      <c r="O325" s="6">
        <v>25.332999999999998</v>
      </c>
      <c r="P325" s="6">
        <v>83</v>
      </c>
      <c r="Q325" s="4" t="s">
        <v>26</v>
      </c>
      <c r="R325" s="4">
        <v>0</v>
      </c>
      <c r="S325" s="6">
        <v>0</v>
      </c>
      <c r="T325" s="6">
        <v>28</v>
      </c>
      <c r="U325" s="6">
        <v>76</v>
      </c>
      <c r="V325" s="6">
        <f>IF(ISERROR(VLOOKUP($S$325,'TAR FIN'!$A$1:$O$85,15,0)),0,VLOOKUP($S$325,'TAR FIN'!$A$1:$O$85,15,0))</f>
        <v>0</v>
      </c>
      <c r="W325" s="6">
        <f>IF(ISERROR(VLOOKUP($T$325,'TAR FIN'!$A$1:$O$85,15,0)),0,VLOOKUP($T$325,'TAR FIN'!$A$1:$O$85,15,0))</f>
        <v>609.05999999999995</v>
      </c>
      <c r="X325" s="6">
        <f>IF(ISERROR(VLOOKUP($U$325,'TAR FIN'!$A$1:$O$85,15,0)),0,VLOOKUP($U$325,'TAR FIN'!$A$1:$O$85,15,0))</f>
        <v>119.97</v>
      </c>
      <c r="Y325" s="6"/>
      <c r="Z325" s="6">
        <f ca="1">('TUSD BE'!$AM$48+'TUSD BF'!$AM$48+'TUSD CVA'!$AM$48)*1</f>
        <v>659.71654674120782</v>
      </c>
      <c r="AA325" s="6">
        <f>('TE BE'!$AB$38+'TE BF'!$AB$38+'TE CVA'!$AB$38)*1</f>
        <v>122.58638016056723</v>
      </c>
      <c r="AB325" s="6">
        <f>$K$325*$V$325</f>
        <v>0</v>
      </c>
      <c r="AC325" s="6">
        <f>$M$325*$W$325</f>
        <v>15429.316979999998</v>
      </c>
      <c r="AD325" s="6">
        <f>$O$325*$X$325</f>
        <v>3039.2000099999996</v>
      </c>
      <c r="AE325" s="6">
        <f>$K$325*$Y$325</f>
        <v>0</v>
      </c>
      <c r="AF325" s="6">
        <f ca="1">$M$325*$Z$325</f>
        <v>16712.599278595018</v>
      </c>
      <c r="AG325" s="6">
        <f>$O$325*$AA$325</f>
        <v>3105.4807686076497</v>
      </c>
    </row>
    <row r="326" spans="1:33" ht="11.25" customHeight="1" x14ac:dyDescent="0.3">
      <c r="A326" s="4" t="s">
        <v>21</v>
      </c>
      <c r="B326" s="4" t="s">
        <v>33</v>
      </c>
      <c r="C326" s="4" t="s">
        <v>23</v>
      </c>
      <c r="D326" s="4" t="s">
        <v>44</v>
      </c>
      <c r="E326" s="4" t="s">
        <v>25</v>
      </c>
      <c r="F326" s="4" t="s">
        <v>25</v>
      </c>
      <c r="G326" s="4" t="s">
        <v>25</v>
      </c>
      <c r="H326" s="4" t="s">
        <v>25</v>
      </c>
      <c r="I326" s="5">
        <v>44713</v>
      </c>
      <c r="J326" s="6">
        <v>0</v>
      </c>
      <c r="K326" s="6">
        <v>0</v>
      </c>
      <c r="L326" s="6">
        <v>28.655999999999999</v>
      </c>
      <c r="M326" s="6">
        <v>28.655999999999999</v>
      </c>
      <c r="N326" s="6">
        <v>28.655999999999999</v>
      </c>
      <c r="O326" s="6">
        <v>28.655999999999999</v>
      </c>
      <c r="P326" s="6">
        <v>83</v>
      </c>
      <c r="Q326" s="4" t="s">
        <v>26</v>
      </c>
      <c r="R326" s="4">
        <v>0</v>
      </c>
      <c r="S326" s="6">
        <v>0</v>
      </c>
      <c r="T326" s="6">
        <v>28</v>
      </c>
      <c r="U326" s="6">
        <v>76</v>
      </c>
      <c r="V326" s="6">
        <f>IF(ISERROR(VLOOKUP($S$326,'TAR FIN'!$A$1:$O$85,15,0)),0,VLOOKUP($S$326,'TAR FIN'!$A$1:$O$85,15,0))</f>
        <v>0</v>
      </c>
      <c r="W326" s="6">
        <f>IF(ISERROR(VLOOKUP($T$326,'TAR FIN'!$A$1:$O$85,15,0)),0,VLOOKUP($T$326,'TAR FIN'!$A$1:$O$85,15,0))</f>
        <v>609.05999999999995</v>
      </c>
      <c r="X326" s="6">
        <f>IF(ISERROR(VLOOKUP($U$326,'TAR FIN'!$A$1:$O$85,15,0)),0,VLOOKUP($U$326,'TAR FIN'!$A$1:$O$85,15,0))</f>
        <v>119.97</v>
      </c>
      <c r="Y326" s="6"/>
      <c r="Z326" s="6">
        <f ca="1">('TUSD BE'!$AM$48+'TUSD BF'!$AM$48+'TUSD CVA'!$AM$48)*1</f>
        <v>659.71654674120782</v>
      </c>
      <c r="AA326" s="6">
        <f>('TE BE'!$AB$38+'TE BF'!$AB$38+'TE CVA'!$AB$38)*1</f>
        <v>122.58638016056723</v>
      </c>
      <c r="AB326" s="6">
        <f>$K$326*$V$326</f>
        <v>0</v>
      </c>
      <c r="AC326" s="6">
        <f>$M$326*$W$326</f>
        <v>17453.223359999996</v>
      </c>
      <c r="AD326" s="6">
        <f>$O$326*$X$326</f>
        <v>3437.8603199999998</v>
      </c>
      <c r="AE326" s="6">
        <f>$K$326*$Y$326</f>
        <v>0</v>
      </c>
      <c r="AF326" s="6">
        <f ca="1">$M$326*$Z$326</f>
        <v>18904.837363416049</v>
      </c>
      <c r="AG326" s="6">
        <f>$O$326*$AA$326</f>
        <v>3512.8353098812145</v>
      </c>
    </row>
    <row r="327" spans="1:33" ht="11.25" customHeight="1" x14ac:dyDescent="0.3">
      <c r="A327" s="4" t="s">
        <v>21</v>
      </c>
      <c r="B327" s="4" t="s">
        <v>33</v>
      </c>
      <c r="C327" s="4" t="s">
        <v>23</v>
      </c>
      <c r="D327" s="4" t="s">
        <v>44</v>
      </c>
      <c r="E327" s="4" t="s">
        <v>25</v>
      </c>
      <c r="F327" s="4" t="s">
        <v>25</v>
      </c>
      <c r="G327" s="4" t="s">
        <v>25</v>
      </c>
      <c r="H327" s="4" t="s">
        <v>25</v>
      </c>
      <c r="I327" s="5">
        <v>44743</v>
      </c>
      <c r="J327" s="6">
        <v>0</v>
      </c>
      <c r="K327" s="6">
        <v>0</v>
      </c>
      <c r="L327" s="6">
        <v>27.748000000000001</v>
      </c>
      <c r="M327" s="6">
        <v>27.748000000000001</v>
      </c>
      <c r="N327" s="6">
        <v>27.748000000000001</v>
      </c>
      <c r="O327" s="6">
        <v>27.748000000000001</v>
      </c>
      <c r="P327" s="6">
        <v>83</v>
      </c>
      <c r="Q327" s="4" t="s">
        <v>26</v>
      </c>
      <c r="R327" s="4">
        <v>0</v>
      </c>
      <c r="S327" s="6">
        <v>0</v>
      </c>
      <c r="T327" s="6">
        <v>28</v>
      </c>
      <c r="U327" s="6">
        <v>76</v>
      </c>
      <c r="V327" s="6">
        <f>IF(ISERROR(VLOOKUP($S$327,'TAR FIN'!$A$1:$O$85,15,0)),0,VLOOKUP($S$327,'TAR FIN'!$A$1:$O$85,15,0))</f>
        <v>0</v>
      </c>
      <c r="W327" s="6">
        <f>IF(ISERROR(VLOOKUP($T$327,'TAR FIN'!$A$1:$O$85,15,0)),0,VLOOKUP($T$327,'TAR FIN'!$A$1:$O$85,15,0))</f>
        <v>609.05999999999995</v>
      </c>
      <c r="X327" s="6">
        <f>IF(ISERROR(VLOOKUP($U$327,'TAR FIN'!$A$1:$O$85,15,0)),0,VLOOKUP($U$327,'TAR FIN'!$A$1:$O$85,15,0))</f>
        <v>119.97</v>
      </c>
      <c r="Y327" s="6"/>
      <c r="Z327" s="6">
        <f ca="1">('TUSD BE'!$AM$48+'TUSD BF'!$AM$48+'TUSD CVA'!$AM$48)*1</f>
        <v>659.71654674120782</v>
      </c>
      <c r="AA327" s="6">
        <f>('TE BE'!$AB$38+'TE BF'!$AB$38+'TE CVA'!$AB$38)*1</f>
        <v>122.58638016056723</v>
      </c>
      <c r="AB327" s="6">
        <f>$K$327*$V$327</f>
        <v>0</v>
      </c>
      <c r="AC327" s="6">
        <f>$M$327*$W$327</f>
        <v>16900.19688</v>
      </c>
      <c r="AD327" s="6">
        <f>$O$327*$X$327</f>
        <v>3328.9275600000001</v>
      </c>
      <c r="AE327" s="6">
        <f>$K$327*$Y$327</f>
        <v>0</v>
      </c>
      <c r="AF327" s="6">
        <f ca="1">$M$327*$Z$327</f>
        <v>18305.814738975034</v>
      </c>
      <c r="AG327" s="6">
        <f>$O$327*$AA$327</f>
        <v>3401.5268766954196</v>
      </c>
    </row>
    <row r="328" spans="1:33" ht="11.25" customHeight="1" x14ac:dyDescent="0.3">
      <c r="A328" s="4" t="s">
        <v>52</v>
      </c>
      <c r="B328" s="4" t="s">
        <v>33</v>
      </c>
      <c r="C328" s="4" t="s">
        <v>23</v>
      </c>
      <c r="D328" s="4" t="s">
        <v>44</v>
      </c>
      <c r="E328" s="4" t="s">
        <v>25</v>
      </c>
      <c r="F328" s="4" t="s">
        <v>25</v>
      </c>
      <c r="G328" s="4" t="s">
        <v>25</v>
      </c>
      <c r="H328" s="4" t="s">
        <v>25</v>
      </c>
      <c r="I328" s="5">
        <v>44774</v>
      </c>
      <c r="J328" s="6">
        <v>0</v>
      </c>
      <c r="K328" s="6">
        <v>0</v>
      </c>
      <c r="L328" s="6">
        <v>27.748000000000001</v>
      </c>
      <c r="M328" s="6">
        <v>27.748000000000001</v>
      </c>
      <c r="N328" s="6">
        <v>27.748000000000001</v>
      </c>
      <c r="O328" s="6">
        <v>27.748000000000001</v>
      </c>
      <c r="P328" s="6">
        <v>83</v>
      </c>
      <c r="Q328" s="4" t="s">
        <v>26</v>
      </c>
      <c r="R328" s="4">
        <v>0</v>
      </c>
      <c r="S328" s="6">
        <v>0</v>
      </c>
      <c r="T328" s="6">
        <v>28</v>
      </c>
      <c r="U328" s="6">
        <v>76</v>
      </c>
      <c r="V328" s="6">
        <f>IF(ISERROR(VLOOKUP($S$328,'TAR FIN'!$A$1:$O$85,15,0)),0,VLOOKUP($S$328,'TAR FIN'!$A$1:$O$85,15,0))</f>
        <v>0</v>
      </c>
      <c r="W328" s="6">
        <f>IF(ISERROR(VLOOKUP($T$328,'TAR FIN'!$A$1:$O$85,15,0)),0,VLOOKUP($T$328,'TAR FIN'!$A$1:$O$85,15,0))</f>
        <v>609.05999999999995</v>
      </c>
      <c r="X328" s="6">
        <f>IF(ISERROR(VLOOKUP($U$328,'TAR FIN'!$A$1:$O$85,15,0)),0,VLOOKUP($U$328,'TAR FIN'!$A$1:$O$85,15,0))</f>
        <v>119.97</v>
      </c>
      <c r="Y328" s="6"/>
      <c r="Z328" s="6">
        <f ca="1">('TUSD BE'!$AM$48+'TUSD BF'!$AM$48+'TUSD CVA'!$AM$48)*1</f>
        <v>659.71654674120782</v>
      </c>
      <c r="AA328" s="6">
        <f>('TE BE'!$AB$38+'TE BF'!$AB$38+'TE CVA'!$AB$38)*1</f>
        <v>122.58638016056723</v>
      </c>
      <c r="AB328" s="6">
        <f>$K$328*$V$328</f>
        <v>0</v>
      </c>
      <c r="AC328" s="6">
        <f>$M$328*$W$328</f>
        <v>16900.19688</v>
      </c>
      <c r="AD328" s="6">
        <f>$O$328*$X$328</f>
        <v>3328.9275600000001</v>
      </c>
      <c r="AE328" s="6">
        <f>$K$328*$Y$328</f>
        <v>0</v>
      </c>
      <c r="AF328" s="6">
        <f ca="1">$M$328*$Z$328</f>
        <v>18305.814738975034</v>
      </c>
      <c r="AG328" s="6">
        <f>$O$328*$AA$328</f>
        <v>3401.5268766954196</v>
      </c>
    </row>
    <row r="329" spans="1:33" ht="11.25" customHeight="1" x14ac:dyDescent="0.3">
      <c r="A329" s="4" t="s">
        <v>21</v>
      </c>
      <c r="B329" s="4" t="s">
        <v>33</v>
      </c>
      <c r="C329" s="4" t="s">
        <v>23</v>
      </c>
      <c r="D329" s="4" t="s">
        <v>48</v>
      </c>
      <c r="E329" s="4" t="s">
        <v>49</v>
      </c>
      <c r="F329" s="4" t="s">
        <v>25</v>
      </c>
      <c r="G329" s="4" t="s">
        <v>25</v>
      </c>
      <c r="H329" s="4" t="s">
        <v>25</v>
      </c>
      <c r="I329" s="5">
        <v>44440</v>
      </c>
      <c r="J329" s="6">
        <v>0</v>
      </c>
      <c r="K329" s="53">
        <v>0</v>
      </c>
      <c r="L329" s="6">
        <v>4.5170000000000003</v>
      </c>
      <c r="M329" s="53">
        <v>4.5170000000000003</v>
      </c>
      <c r="N329" s="6">
        <v>4.5170000000000003</v>
      </c>
      <c r="O329" s="53">
        <v>4.5170000000000003</v>
      </c>
      <c r="P329" s="6">
        <v>7</v>
      </c>
      <c r="Q329" s="4" t="s">
        <v>26</v>
      </c>
      <c r="R329" s="4">
        <v>0</v>
      </c>
      <c r="S329" s="6">
        <v>0</v>
      </c>
      <c r="T329" s="6">
        <v>28</v>
      </c>
      <c r="U329" s="6">
        <v>76</v>
      </c>
      <c r="V329" s="53">
        <f>IF(ISERROR(VLOOKUP($S$329,'TAR FIN'!$A$1:$O$85,15,0)),0,VLOOKUP($S$329,'TAR FIN'!$A$1:$O$85,15,0))</f>
        <v>0</v>
      </c>
      <c r="W329" s="53">
        <f>IF(ISERROR(VLOOKUP($T$329,'TAR FIN'!$A$1:$O$85,15,0)),0,VLOOKUP($T$329,'TAR FIN'!$A$1:$O$85,15,0))*(1-0.06)</f>
        <v>572.51639999999986</v>
      </c>
      <c r="X329" s="53">
        <f>IF(ISERROR(VLOOKUP($U$329,'TAR FIN'!$A$1:$O$85,15,0)),0,VLOOKUP($U$329,'TAR FIN'!$A$1:$O$85,15,0))*(1-0.06)</f>
        <v>112.7718</v>
      </c>
      <c r="Y329" s="53"/>
      <c r="Z329" s="53">
        <f ca="1">('TUSD BE'!$AM$48+'TUSD BF'!$AM$48+'TUSD CVA'!$AM$48)*1*(1-0.03)</f>
        <v>639.92505033897157</v>
      </c>
      <c r="AA329" s="53">
        <f>('TE BE'!$AB$38+'TE BF'!$AB$38+'TE CVA'!$AB$38)*1*(1-0.03)</f>
        <v>118.90878875575021</v>
      </c>
      <c r="AB329" s="6">
        <f>$K$329*$V$329</f>
        <v>0</v>
      </c>
      <c r="AC329" s="6">
        <f>$M$329*$W$329</f>
        <v>2586.0565787999994</v>
      </c>
      <c r="AD329" s="6">
        <f>$O$329*$X$329</f>
        <v>509.39022060000002</v>
      </c>
      <c r="AE329" s="6">
        <f>$K$329*$Y$329</f>
        <v>0</v>
      </c>
      <c r="AF329" s="6">
        <f ca="1">$M$329*$Z$329</f>
        <v>2890.5414523811346</v>
      </c>
      <c r="AG329" s="6">
        <f>$O$329*$AA$329</f>
        <v>537.1109988097237</v>
      </c>
    </row>
    <row r="330" spans="1:33" ht="11.25" customHeight="1" x14ac:dyDescent="0.3">
      <c r="A330" s="4" t="s">
        <v>21</v>
      </c>
      <c r="B330" s="4" t="s">
        <v>33</v>
      </c>
      <c r="C330" s="4" t="s">
        <v>23</v>
      </c>
      <c r="D330" s="4" t="s">
        <v>48</v>
      </c>
      <c r="E330" s="4" t="s">
        <v>49</v>
      </c>
      <c r="F330" s="4" t="s">
        <v>25</v>
      </c>
      <c r="G330" s="4" t="s">
        <v>25</v>
      </c>
      <c r="H330" s="4" t="s">
        <v>25</v>
      </c>
      <c r="I330" s="5">
        <v>44470</v>
      </c>
      <c r="J330" s="6">
        <v>0</v>
      </c>
      <c r="K330" s="53">
        <v>0</v>
      </c>
      <c r="L330" s="6">
        <v>4.6639999999999997</v>
      </c>
      <c r="M330" s="53">
        <v>4.6639999999999997</v>
      </c>
      <c r="N330" s="6">
        <v>4.6639999999999997</v>
      </c>
      <c r="O330" s="53">
        <v>4.6639999999999997</v>
      </c>
      <c r="P330" s="6">
        <v>7</v>
      </c>
      <c r="Q330" s="4" t="s">
        <v>26</v>
      </c>
      <c r="R330" s="4">
        <v>0</v>
      </c>
      <c r="S330" s="6">
        <v>0</v>
      </c>
      <c r="T330" s="6">
        <v>28</v>
      </c>
      <c r="U330" s="6">
        <v>76</v>
      </c>
      <c r="V330" s="53">
        <f>IF(ISERROR(VLOOKUP($S$330,'TAR FIN'!$A$1:$O$85,15,0)),0,VLOOKUP($S$330,'TAR FIN'!$A$1:$O$85,15,0))</f>
        <v>0</v>
      </c>
      <c r="W330" s="53">
        <f>IF(ISERROR(VLOOKUP($T$330,'TAR FIN'!$A$1:$O$85,15,0)),0,VLOOKUP($T$330,'TAR FIN'!$A$1:$O$85,15,0))*(1-0.06)</f>
        <v>572.51639999999986</v>
      </c>
      <c r="X330" s="53">
        <f>IF(ISERROR(VLOOKUP($U$330,'TAR FIN'!$A$1:$O$85,15,0)),0,VLOOKUP($U$330,'TAR FIN'!$A$1:$O$85,15,0))*(1-0.06)</f>
        <v>112.7718</v>
      </c>
      <c r="Y330" s="53"/>
      <c r="Z330" s="53">
        <f ca="1">('TUSD BE'!$AM$48+'TUSD BF'!$AM$48+'TUSD CVA'!$AM$48)*1*(1-0.03)</f>
        <v>639.92505033897157</v>
      </c>
      <c r="AA330" s="53">
        <f>('TE BE'!$AB$38+'TE BF'!$AB$38+'TE CVA'!$AB$38)*1*(1-0.03)</f>
        <v>118.90878875575021</v>
      </c>
      <c r="AB330" s="6">
        <f>$K$330*$V$330</f>
        <v>0</v>
      </c>
      <c r="AC330" s="6">
        <f>$M$330*$W$330</f>
        <v>2670.216489599999</v>
      </c>
      <c r="AD330" s="6">
        <f>$O$330*$X$330</f>
        <v>525.96767519999992</v>
      </c>
      <c r="AE330" s="6">
        <f>$K$330*$Y$330</f>
        <v>0</v>
      </c>
      <c r="AF330" s="6">
        <f ca="1">$M$330*$Z$330</f>
        <v>2984.6104347809633</v>
      </c>
      <c r="AG330" s="6">
        <f>$O$330*$AA$330</f>
        <v>554.59059075681898</v>
      </c>
    </row>
    <row r="331" spans="1:33" ht="11.25" customHeight="1" x14ac:dyDescent="0.3">
      <c r="A331" s="4" t="s">
        <v>21</v>
      </c>
      <c r="B331" s="4" t="s">
        <v>33</v>
      </c>
      <c r="C331" s="4" t="s">
        <v>23</v>
      </c>
      <c r="D331" s="4" t="s">
        <v>48</v>
      </c>
      <c r="E331" s="4" t="s">
        <v>49</v>
      </c>
      <c r="F331" s="4" t="s">
        <v>25</v>
      </c>
      <c r="G331" s="4" t="s">
        <v>25</v>
      </c>
      <c r="H331" s="4" t="s">
        <v>25</v>
      </c>
      <c r="I331" s="5">
        <v>44501</v>
      </c>
      <c r="J331" s="6">
        <v>0</v>
      </c>
      <c r="K331" s="53">
        <v>0</v>
      </c>
      <c r="L331" s="6">
        <v>4.6029999999999998</v>
      </c>
      <c r="M331" s="53">
        <v>4.6029999999999998</v>
      </c>
      <c r="N331" s="6">
        <v>4.6029999999999998</v>
      </c>
      <c r="O331" s="53">
        <v>4.6029999999999998</v>
      </c>
      <c r="P331" s="6">
        <v>7</v>
      </c>
      <c r="Q331" s="4" t="s">
        <v>26</v>
      </c>
      <c r="R331" s="4">
        <v>0</v>
      </c>
      <c r="S331" s="6">
        <v>0</v>
      </c>
      <c r="T331" s="6">
        <v>28</v>
      </c>
      <c r="U331" s="6">
        <v>76</v>
      </c>
      <c r="V331" s="53">
        <f>IF(ISERROR(VLOOKUP($S$331,'TAR FIN'!$A$1:$O$85,15,0)),0,VLOOKUP($S$331,'TAR FIN'!$A$1:$O$85,15,0))</f>
        <v>0</v>
      </c>
      <c r="W331" s="53">
        <f>IF(ISERROR(VLOOKUP($T$331,'TAR FIN'!$A$1:$O$85,15,0)),0,VLOOKUP($T$331,'TAR FIN'!$A$1:$O$85,15,0))*(1-0.06)</f>
        <v>572.51639999999986</v>
      </c>
      <c r="X331" s="53">
        <f>IF(ISERROR(VLOOKUP($U$331,'TAR FIN'!$A$1:$O$85,15,0)),0,VLOOKUP($U$331,'TAR FIN'!$A$1:$O$85,15,0))*(1-0.06)</f>
        <v>112.7718</v>
      </c>
      <c r="Y331" s="53"/>
      <c r="Z331" s="53">
        <f ca="1">('TUSD BE'!$AM$48+'TUSD BF'!$AM$48+'TUSD CVA'!$AM$48)*1*(1-0.03)</f>
        <v>639.92505033897157</v>
      </c>
      <c r="AA331" s="53">
        <f>('TE BE'!$AB$38+'TE BF'!$AB$38+'TE CVA'!$AB$38)*1*(1-0.03)</f>
        <v>118.90878875575021</v>
      </c>
      <c r="AB331" s="6">
        <f>$K$331*$V$331</f>
        <v>0</v>
      </c>
      <c r="AC331" s="6">
        <f>$M$331*$W$331</f>
        <v>2635.2929891999993</v>
      </c>
      <c r="AD331" s="6">
        <f>$O$331*$X$331</f>
        <v>519.08859539999992</v>
      </c>
      <c r="AE331" s="6">
        <f>$K$331*$Y$331</f>
        <v>0</v>
      </c>
      <c r="AF331" s="6">
        <f ca="1">$M$331*$Z$331</f>
        <v>2945.5750067102858</v>
      </c>
      <c r="AG331" s="6">
        <f>$O$331*$AA$331</f>
        <v>547.33715464271813</v>
      </c>
    </row>
    <row r="332" spans="1:33" ht="11.25" customHeight="1" x14ac:dyDescent="0.3">
      <c r="A332" s="4" t="s">
        <v>21</v>
      </c>
      <c r="B332" s="4" t="s">
        <v>33</v>
      </c>
      <c r="C332" s="4" t="s">
        <v>23</v>
      </c>
      <c r="D332" s="4" t="s">
        <v>48</v>
      </c>
      <c r="E332" s="4" t="s">
        <v>49</v>
      </c>
      <c r="F332" s="4" t="s">
        <v>25</v>
      </c>
      <c r="G332" s="4" t="s">
        <v>25</v>
      </c>
      <c r="H332" s="4" t="s">
        <v>25</v>
      </c>
      <c r="I332" s="5">
        <v>44531</v>
      </c>
      <c r="J332" s="6">
        <v>0</v>
      </c>
      <c r="K332" s="53">
        <v>0</v>
      </c>
      <c r="L332" s="6">
        <v>4.399</v>
      </c>
      <c r="M332" s="53">
        <v>4.399</v>
      </c>
      <c r="N332" s="6">
        <v>4.399</v>
      </c>
      <c r="O332" s="53">
        <v>4.399</v>
      </c>
      <c r="P332" s="6">
        <v>7</v>
      </c>
      <c r="Q332" s="4" t="s">
        <v>26</v>
      </c>
      <c r="R332" s="4">
        <v>0</v>
      </c>
      <c r="S332" s="6">
        <v>0</v>
      </c>
      <c r="T332" s="6">
        <v>28</v>
      </c>
      <c r="U332" s="6">
        <v>76</v>
      </c>
      <c r="V332" s="53">
        <f>IF(ISERROR(VLOOKUP($S$332,'TAR FIN'!$A$1:$O$85,15,0)),0,VLOOKUP($S$332,'TAR FIN'!$A$1:$O$85,15,0))</f>
        <v>0</v>
      </c>
      <c r="W332" s="53">
        <f>IF(ISERROR(VLOOKUP($T$332,'TAR FIN'!$A$1:$O$85,15,0)),0,VLOOKUP($T$332,'TAR FIN'!$A$1:$O$85,15,0))*(1-0.06)</f>
        <v>572.51639999999986</v>
      </c>
      <c r="X332" s="53">
        <f>IF(ISERROR(VLOOKUP($U$332,'TAR FIN'!$A$1:$O$85,15,0)),0,VLOOKUP($U$332,'TAR FIN'!$A$1:$O$85,15,0))*(1-0.06)</f>
        <v>112.7718</v>
      </c>
      <c r="Y332" s="53"/>
      <c r="Z332" s="53">
        <f ca="1">('TUSD BE'!$AM$48+'TUSD BF'!$AM$48+'TUSD CVA'!$AM$48)*1*(1-0.03)</f>
        <v>639.92505033897157</v>
      </c>
      <c r="AA332" s="53">
        <f>('TE BE'!$AB$38+'TE BF'!$AB$38+'TE CVA'!$AB$38)*1*(1-0.03)</f>
        <v>118.90878875575021</v>
      </c>
      <c r="AB332" s="6">
        <f>$K$332*$V$332</f>
        <v>0</v>
      </c>
      <c r="AC332" s="6">
        <f>$M$332*$W$332</f>
        <v>2518.4996435999992</v>
      </c>
      <c r="AD332" s="6">
        <f>$O$332*$X$332</f>
        <v>496.08314819999998</v>
      </c>
      <c r="AE332" s="6">
        <f>$K$332*$Y$332</f>
        <v>0</v>
      </c>
      <c r="AF332" s="6">
        <f ca="1">$M$332*$Z$332</f>
        <v>2815.0302964411358</v>
      </c>
      <c r="AG332" s="6">
        <f>$O$332*$AA$332</f>
        <v>523.07976173654515</v>
      </c>
    </row>
    <row r="333" spans="1:33" ht="11.25" customHeight="1" x14ac:dyDescent="0.3">
      <c r="A333" s="4" t="s">
        <v>21</v>
      </c>
      <c r="B333" s="4" t="s">
        <v>33</v>
      </c>
      <c r="C333" s="4" t="s">
        <v>23</v>
      </c>
      <c r="D333" s="4" t="s">
        <v>48</v>
      </c>
      <c r="E333" s="4" t="s">
        <v>49</v>
      </c>
      <c r="F333" s="4" t="s">
        <v>25</v>
      </c>
      <c r="G333" s="4" t="s">
        <v>25</v>
      </c>
      <c r="H333" s="4" t="s">
        <v>25</v>
      </c>
      <c r="I333" s="5">
        <v>44562</v>
      </c>
      <c r="J333" s="6">
        <v>0</v>
      </c>
      <c r="K333" s="53">
        <v>0</v>
      </c>
      <c r="L333" s="6">
        <v>4.9820000000000002</v>
      </c>
      <c r="M333" s="53">
        <v>4.9820000000000002</v>
      </c>
      <c r="N333" s="6">
        <v>4.9820000000000002</v>
      </c>
      <c r="O333" s="53">
        <v>4.9820000000000002</v>
      </c>
      <c r="P333" s="6">
        <v>7</v>
      </c>
      <c r="Q333" s="4" t="s">
        <v>26</v>
      </c>
      <c r="R333" s="4">
        <v>0</v>
      </c>
      <c r="S333" s="6">
        <v>0</v>
      </c>
      <c r="T333" s="6">
        <v>28</v>
      </c>
      <c r="U333" s="6">
        <v>76</v>
      </c>
      <c r="V333" s="53">
        <f>IF(ISERROR(VLOOKUP($S$333,'TAR FIN'!$A$1:$O$85,15,0)),0,VLOOKUP($S$333,'TAR FIN'!$A$1:$O$85,15,0))</f>
        <v>0</v>
      </c>
      <c r="W333" s="53">
        <f>IF(ISERROR(VLOOKUP($T$333,'TAR FIN'!$A$1:$O$85,15,0)),0,VLOOKUP($T$333,'TAR FIN'!$A$1:$O$85,15,0))*(1-0.06)</f>
        <v>572.51639999999986</v>
      </c>
      <c r="X333" s="53">
        <f>IF(ISERROR(VLOOKUP($U$333,'TAR FIN'!$A$1:$O$85,15,0)),0,VLOOKUP($U$333,'TAR FIN'!$A$1:$O$85,15,0))*(1-0.06)</f>
        <v>112.7718</v>
      </c>
      <c r="Y333" s="53"/>
      <c r="Z333" s="53">
        <f ca="1">('TUSD BE'!$AM$48+'TUSD BF'!$AM$48+'TUSD CVA'!$AM$48)*1*(1-0.03)</f>
        <v>639.92505033897157</v>
      </c>
      <c r="AA333" s="53">
        <f>('TE BE'!$AB$38+'TE BF'!$AB$38+'TE CVA'!$AB$38)*1*(1-0.03)</f>
        <v>118.90878875575021</v>
      </c>
      <c r="AB333" s="6">
        <f>$K$333*$V$333</f>
        <v>0</v>
      </c>
      <c r="AC333" s="6">
        <f>$M$333*$W$333</f>
        <v>2852.2767047999996</v>
      </c>
      <c r="AD333" s="6">
        <f>$O$333*$X$333</f>
        <v>561.82910760000004</v>
      </c>
      <c r="AE333" s="6">
        <f>$K$333*$Y$333</f>
        <v>0</v>
      </c>
      <c r="AF333" s="6">
        <f ca="1">$M$333*$Z$333</f>
        <v>3188.1066007887566</v>
      </c>
      <c r="AG333" s="6">
        <f>$O$333*$AA$333</f>
        <v>592.40358558114758</v>
      </c>
    </row>
    <row r="334" spans="1:33" ht="11.25" customHeight="1" x14ac:dyDescent="0.3">
      <c r="A334" s="4" t="s">
        <v>21</v>
      </c>
      <c r="B334" s="4" t="s">
        <v>33</v>
      </c>
      <c r="C334" s="4" t="s">
        <v>23</v>
      </c>
      <c r="D334" s="4" t="s">
        <v>48</v>
      </c>
      <c r="E334" s="4" t="s">
        <v>49</v>
      </c>
      <c r="F334" s="4" t="s">
        <v>25</v>
      </c>
      <c r="G334" s="4" t="s">
        <v>25</v>
      </c>
      <c r="H334" s="4" t="s">
        <v>25</v>
      </c>
      <c r="I334" s="5">
        <v>44593</v>
      </c>
      <c r="J334" s="6">
        <v>0</v>
      </c>
      <c r="K334" s="53">
        <v>0</v>
      </c>
      <c r="L334" s="6">
        <v>5.7190000000000003</v>
      </c>
      <c r="M334" s="53">
        <v>5.7190000000000003</v>
      </c>
      <c r="N334" s="6">
        <v>5.7190000000000003</v>
      </c>
      <c r="O334" s="53">
        <v>5.7190000000000003</v>
      </c>
      <c r="P334" s="6">
        <v>7</v>
      </c>
      <c r="Q334" s="4" t="s">
        <v>26</v>
      </c>
      <c r="R334" s="4">
        <v>0</v>
      </c>
      <c r="S334" s="6">
        <v>0</v>
      </c>
      <c r="T334" s="6">
        <v>28</v>
      </c>
      <c r="U334" s="6">
        <v>76</v>
      </c>
      <c r="V334" s="53">
        <f>IF(ISERROR(VLOOKUP($S$334,'TAR FIN'!$A$1:$O$85,15,0)),0,VLOOKUP($S$334,'TAR FIN'!$A$1:$O$85,15,0))</f>
        <v>0</v>
      </c>
      <c r="W334" s="53">
        <f>IF(ISERROR(VLOOKUP($T$334,'TAR FIN'!$A$1:$O$85,15,0)),0,VLOOKUP($T$334,'TAR FIN'!$A$1:$O$85,15,0))*(1-0.06)</f>
        <v>572.51639999999986</v>
      </c>
      <c r="X334" s="53">
        <f>IF(ISERROR(VLOOKUP($U$334,'TAR FIN'!$A$1:$O$85,15,0)),0,VLOOKUP($U$334,'TAR FIN'!$A$1:$O$85,15,0))*(1-0.06)</f>
        <v>112.7718</v>
      </c>
      <c r="Y334" s="53"/>
      <c r="Z334" s="53">
        <f ca="1">('TUSD BE'!$AM$48+'TUSD BF'!$AM$48+'TUSD CVA'!$AM$48)*1*(1-0.03)</f>
        <v>639.92505033897157</v>
      </c>
      <c r="AA334" s="53">
        <f>('TE BE'!$AB$38+'TE BF'!$AB$38+'TE CVA'!$AB$38)*1*(1-0.03)</f>
        <v>118.90878875575021</v>
      </c>
      <c r="AB334" s="6">
        <f>$K$334*$V$334</f>
        <v>0</v>
      </c>
      <c r="AC334" s="6">
        <f>$M$334*$W$334</f>
        <v>3274.2212915999994</v>
      </c>
      <c r="AD334" s="6">
        <f>$O$334*$X$334</f>
        <v>644.94192420000002</v>
      </c>
      <c r="AE334" s="6">
        <f>$K$334*$Y$334</f>
        <v>0</v>
      </c>
      <c r="AF334" s="6">
        <f ca="1">$M$334*$Z$334</f>
        <v>3659.7313628885786</v>
      </c>
      <c r="AG334" s="6">
        <f>$O$334*$AA$334</f>
        <v>680.03936289413548</v>
      </c>
    </row>
    <row r="335" spans="1:33" ht="11.25" customHeight="1" x14ac:dyDescent="0.3">
      <c r="A335" s="4" t="s">
        <v>21</v>
      </c>
      <c r="B335" s="4" t="s">
        <v>33</v>
      </c>
      <c r="C335" s="4" t="s">
        <v>23</v>
      </c>
      <c r="D335" s="4" t="s">
        <v>48</v>
      </c>
      <c r="E335" s="4" t="s">
        <v>49</v>
      </c>
      <c r="F335" s="4" t="s">
        <v>25</v>
      </c>
      <c r="G335" s="4" t="s">
        <v>25</v>
      </c>
      <c r="H335" s="4" t="s">
        <v>25</v>
      </c>
      <c r="I335" s="5">
        <v>44621</v>
      </c>
      <c r="J335" s="6">
        <v>0</v>
      </c>
      <c r="K335" s="53">
        <v>0</v>
      </c>
      <c r="L335" s="6">
        <v>5.2949999999999999</v>
      </c>
      <c r="M335" s="53">
        <v>5.2949999999999999</v>
      </c>
      <c r="N335" s="6">
        <v>5.2949999999999999</v>
      </c>
      <c r="O335" s="53">
        <v>5.2949999999999999</v>
      </c>
      <c r="P335" s="6">
        <v>7</v>
      </c>
      <c r="Q335" s="4" t="s">
        <v>26</v>
      </c>
      <c r="R335" s="4">
        <v>0</v>
      </c>
      <c r="S335" s="6">
        <v>0</v>
      </c>
      <c r="T335" s="6">
        <v>28</v>
      </c>
      <c r="U335" s="6">
        <v>76</v>
      </c>
      <c r="V335" s="53">
        <f>IF(ISERROR(VLOOKUP($S$335,'TAR FIN'!$A$1:$O$85,15,0)),0,VLOOKUP($S$335,'TAR FIN'!$A$1:$O$85,15,0))</f>
        <v>0</v>
      </c>
      <c r="W335" s="53">
        <f>IF(ISERROR(VLOOKUP($T$335,'TAR FIN'!$A$1:$O$85,15,0)),0,VLOOKUP($T$335,'TAR FIN'!$A$1:$O$85,15,0))*(1-0.06)</f>
        <v>572.51639999999986</v>
      </c>
      <c r="X335" s="53">
        <f>IF(ISERROR(VLOOKUP($U$335,'TAR FIN'!$A$1:$O$85,15,0)),0,VLOOKUP($U$335,'TAR FIN'!$A$1:$O$85,15,0))*(1-0.06)</f>
        <v>112.7718</v>
      </c>
      <c r="Y335" s="53"/>
      <c r="Z335" s="53">
        <f ca="1">('TUSD BE'!$AM$48+'TUSD BF'!$AM$48+'TUSD CVA'!$AM$48)*1*(1-0.03)</f>
        <v>639.92505033897157</v>
      </c>
      <c r="AA335" s="53">
        <f>('TE BE'!$AB$38+'TE BF'!$AB$38+'TE CVA'!$AB$38)*1*(1-0.03)</f>
        <v>118.90878875575021</v>
      </c>
      <c r="AB335" s="6">
        <f>$K$335*$V$335</f>
        <v>0</v>
      </c>
      <c r="AC335" s="6">
        <f>$M$335*$W$335</f>
        <v>3031.4743379999991</v>
      </c>
      <c r="AD335" s="6">
        <f>$O$335*$X$335</f>
        <v>597.12668099999996</v>
      </c>
      <c r="AE335" s="6">
        <f>$K$335*$Y$335</f>
        <v>0</v>
      </c>
      <c r="AF335" s="6">
        <f ca="1">$M$335*$Z$335</f>
        <v>3388.4031415448544</v>
      </c>
      <c r="AG335" s="6">
        <f>$O$335*$AA$335</f>
        <v>629.62203646169735</v>
      </c>
    </row>
    <row r="336" spans="1:33" ht="11.25" customHeight="1" x14ac:dyDescent="0.3">
      <c r="A336" s="4" t="s">
        <v>21</v>
      </c>
      <c r="B336" s="4" t="s">
        <v>33</v>
      </c>
      <c r="C336" s="4" t="s">
        <v>23</v>
      </c>
      <c r="D336" s="4" t="s">
        <v>48</v>
      </c>
      <c r="E336" s="4" t="s">
        <v>49</v>
      </c>
      <c r="F336" s="4" t="s">
        <v>25</v>
      </c>
      <c r="G336" s="4" t="s">
        <v>25</v>
      </c>
      <c r="H336" s="4" t="s">
        <v>25</v>
      </c>
      <c r="I336" s="5">
        <v>44652</v>
      </c>
      <c r="J336" s="6">
        <v>0</v>
      </c>
      <c r="K336" s="53">
        <v>0</v>
      </c>
      <c r="L336" s="6">
        <v>4.95</v>
      </c>
      <c r="M336" s="53">
        <v>4.95</v>
      </c>
      <c r="N336" s="6">
        <v>4.95</v>
      </c>
      <c r="O336" s="53">
        <v>4.95</v>
      </c>
      <c r="P336" s="6">
        <v>7</v>
      </c>
      <c r="Q336" s="4" t="s">
        <v>26</v>
      </c>
      <c r="R336" s="4">
        <v>0</v>
      </c>
      <c r="S336" s="6">
        <v>0</v>
      </c>
      <c r="T336" s="6">
        <v>28</v>
      </c>
      <c r="U336" s="6">
        <v>76</v>
      </c>
      <c r="V336" s="53">
        <f>IF(ISERROR(VLOOKUP($S$336,'TAR FIN'!$A$1:$O$85,15,0)),0,VLOOKUP($S$336,'TAR FIN'!$A$1:$O$85,15,0))</f>
        <v>0</v>
      </c>
      <c r="W336" s="53">
        <f>IF(ISERROR(VLOOKUP($T$336,'TAR FIN'!$A$1:$O$85,15,0)),0,VLOOKUP($T$336,'TAR FIN'!$A$1:$O$85,15,0))*(1-0.06)</f>
        <v>572.51639999999986</v>
      </c>
      <c r="X336" s="53">
        <f>IF(ISERROR(VLOOKUP($U$336,'TAR FIN'!$A$1:$O$85,15,0)),0,VLOOKUP($U$336,'TAR FIN'!$A$1:$O$85,15,0))*(1-0.06)</f>
        <v>112.7718</v>
      </c>
      <c r="Y336" s="53"/>
      <c r="Z336" s="53">
        <f ca="1">('TUSD BE'!$AM$48+'TUSD BF'!$AM$48+'TUSD CVA'!$AM$48)*1*(1-0.03)</f>
        <v>639.92505033897157</v>
      </c>
      <c r="AA336" s="53">
        <f>('TE BE'!$AB$38+'TE BF'!$AB$38+'TE CVA'!$AB$38)*1*(1-0.03)</f>
        <v>118.90878875575021</v>
      </c>
      <c r="AB336" s="6">
        <f>$K$336*$V$336</f>
        <v>0</v>
      </c>
      <c r="AC336" s="6">
        <f>$M$336*$W$336</f>
        <v>2833.9561799999992</v>
      </c>
      <c r="AD336" s="6">
        <f>$O$336*$X$336</f>
        <v>558.22041000000002</v>
      </c>
      <c r="AE336" s="6">
        <f>$K$336*$Y$336</f>
        <v>0</v>
      </c>
      <c r="AF336" s="6">
        <f ca="1">$M$336*$Z$336</f>
        <v>3167.6289991779095</v>
      </c>
      <c r="AG336" s="6">
        <f>$O$336*$AA$336</f>
        <v>588.59850434096359</v>
      </c>
    </row>
    <row r="337" spans="1:33" ht="11.25" customHeight="1" x14ac:dyDescent="0.3">
      <c r="A337" s="4" t="s">
        <v>21</v>
      </c>
      <c r="B337" s="4" t="s">
        <v>33</v>
      </c>
      <c r="C337" s="4" t="s">
        <v>23</v>
      </c>
      <c r="D337" s="4" t="s">
        <v>48</v>
      </c>
      <c r="E337" s="4" t="s">
        <v>49</v>
      </c>
      <c r="F337" s="4" t="s">
        <v>25</v>
      </c>
      <c r="G337" s="4" t="s">
        <v>25</v>
      </c>
      <c r="H337" s="4" t="s">
        <v>25</v>
      </c>
      <c r="I337" s="5">
        <v>44682</v>
      </c>
      <c r="J337" s="6">
        <v>0</v>
      </c>
      <c r="K337" s="53">
        <v>0</v>
      </c>
      <c r="L337" s="6">
        <v>4.4809999999999999</v>
      </c>
      <c r="M337" s="53">
        <v>4.4809999999999999</v>
      </c>
      <c r="N337" s="6">
        <v>4.4809999999999999</v>
      </c>
      <c r="O337" s="53">
        <v>4.4809999999999999</v>
      </c>
      <c r="P337" s="6">
        <v>7</v>
      </c>
      <c r="Q337" s="4" t="s">
        <v>26</v>
      </c>
      <c r="R337" s="4">
        <v>0</v>
      </c>
      <c r="S337" s="6">
        <v>0</v>
      </c>
      <c r="T337" s="6">
        <v>28</v>
      </c>
      <c r="U337" s="6">
        <v>76</v>
      </c>
      <c r="V337" s="53">
        <f>IF(ISERROR(VLOOKUP($S$337,'TAR FIN'!$A$1:$O$85,15,0)),0,VLOOKUP($S$337,'TAR FIN'!$A$1:$O$85,15,0))</f>
        <v>0</v>
      </c>
      <c r="W337" s="53">
        <f>IF(ISERROR(VLOOKUP($T$337,'TAR FIN'!$A$1:$O$85,15,0)),0,VLOOKUP($T$337,'TAR FIN'!$A$1:$O$85,15,0))*(1-0.06)</f>
        <v>572.51639999999986</v>
      </c>
      <c r="X337" s="53">
        <f>IF(ISERROR(VLOOKUP($U$337,'TAR FIN'!$A$1:$O$85,15,0)),0,VLOOKUP($U$337,'TAR FIN'!$A$1:$O$85,15,0))*(1-0.06)</f>
        <v>112.7718</v>
      </c>
      <c r="Y337" s="53"/>
      <c r="Z337" s="53">
        <f ca="1">('TUSD BE'!$AM$48+'TUSD BF'!$AM$48+'TUSD CVA'!$AM$48)*1*(1-0.03)</f>
        <v>639.92505033897157</v>
      </c>
      <c r="AA337" s="53">
        <f>('TE BE'!$AB$38+'TE BF'!$AB$38+'TE CVA'!$AB$38)*1*(1-0.03)</f>
        <v>118.90878875575021</v>
      </c>
      <c r="AB337" s="6">
        <f>$K$337*$V$337</f>
        <v>0</v>
      </c>
      <c r="AC337" s="6">
        <f>$M$337*$W$337</f>
        <v>2565.4459883999994</v>
      </c>
      <c r="AD337" s="6">
        <f>$O$337*$X$337</f>
        <v>505.33043579999998</v>
      </c>
      <c r="AE337" s="6">
        <f>$K$337*$Y$337</f>
        <v>0</v>
      </c>
      <c r="AF337" s="6">
        <f ca="1">$M$337*$Z$337</f>
        <v>2867.5041505689314</v>
      </c>
      <c r="AG337" s="6">
        <f>$O$337*$AA$337</f>
        <v>532.83028241451666</v>
      </c>
    </row>
    <row r="338" spans="1:33" ht="11.25" customHeight="1" x14ac:dyDescent="0.3">
      <c r="A338" s="4" t="s">
        <v>21</v>
      </c>
      <c r="B338" s="4" t="s">
        <v>33</v>
      </c>
      <c r="C338" s="4" t="s">
        <v>23</v>
      </c>
      <c r="D338" s="4" t="s">
        <v>48</v>
      </c>
      <c r="E338" s="4" t="s">
        <v>49</v>
      </c>
      <c r="F338" s="4" t="s">
        <v>25</v>
      </c>
      <c r="G338" s="4" t="s">
        <v>25</v>
      </c>
      <c r="H338" s="4" t="s">
        <v>25</v>
      </c>
      <c r="I338" s="5">
        <v>44713</v>
      </c>
      <c r="J338" s="6">
        <v>0</v>
      </c>
      <c r="K338" s="53">
        <v>0</v>
      </c>
      <c r="L338" s="6">
        <v>6.141</v>
      </c>
      <c r="M338" s="53">
        <v>6.141</v>
      </c>
      <c r="N338" s="6">
        <v>6.141</v>
      </c>
      <c r="O338" s="53">
        <v>6.141</v>
      </c>
      <c r="P338" s="6">
        <v>7</v>
      </c>
      <c r="Q338" s="4" t="s">
        <v>26</v>
      </c>
      <c r="R338" s="4">
        <v>0</v>
      </c>
      <c r="S338" s="6">
        <v>0</v>
      </c>
      <c r="T338" s="6">
        <v>28</v>
      </c>
      <c r="U338" s="6">
        <v>76</v>
      </c>
      <c r="V338" s="53">
        <f>IF(ISERROR(VLOOKUP($S$338,'TAR FIN'!$A$1:$O$85,15,0)),0,VLOOKUP($S$338,'TAR FIN'!$A$1:$O$85,15,0))</f>
        <v>0</v>
      </c>
      <c r="W338" s="53">
        <f>IF(ISERROR(VLOOKUP($T$338,'TAR FIN'!$A$1:$O$85,15,0)),0,VLOOKUP($T$338,'TAR FIN'!$A$1:$O$85,15,0))*(1-0.06)</f>
        <v>572.51639999999986</v>
      </c>
      <c r="X338" s="53">
        <f>IF(ISERROR(VLOOKUP($U$338,'TAR FIN'!$A$1:$O$85,15,0)),0,VLOOKUP($U$338,'TAR FIN'!$A$1:$O$85,15,0))*(1-0.06)</f>
        <v>112.7718</v>
      </c>
      <c r="Y338" s="53"/>
      <c r="Z338" s="53">
        <f ca="1">('TUSD BE'!$AM$48+'TUSD BF'!$AM$48+'TUSD CVA'!$AM$48)*1*(1-0.03)</f>
        <v>639.92505033897157</v>
      </c>
      <c r="AA338" s="53">
        <f>('TE BE'!$AB$38+'TE BF'!$AB$38+'TE CVA'!$AB$38)*1*(1-0.03)</f>
        <v>118.90878875575021</v>
      </c>
      <c r="AB338" s="6">
        <f>$K$338*$V$338</f>
        <v>0</v>
      </c>
      <c r="AC338" s="6">
        <f>$M$338*$W$338</f>
        <v>3515.8232123999992</v>
      </c>
      <c r="AD338" s="6">
        <f>$O$338*$X$338</f>
        <v>692.53162380000003</v>
      </c>
      <c r="AE338" s="6">
        <f>$K$338*$Y$338</f>
        <v>0</v>
      </c>
      <c r="AF338" s="6">
        <f ca="1">$M$338*$Z$338</f>
        <v>3929.7797341316245</v>
      </c>
      <c r="AG338" s="6">
        <f>$O$338*$AA$338</f>
        <v>730.21887174906203</v>
      </c>
    </row>
    <row r="339" spans="1:33" ht="11.25" customHeight="1" x14ac:dyDescent="0.3">
      <c r="A339" s="4" t="s">
        <v>21</v>
      </c>
      <c r="B339" s="4" t="s">
        <v>33</v>
      </c>
      <c r="C339" s="4" t="s">
        <v>23</v>
      </c>
      <c r="D339" s="4" t="s">
        <v>48</v>
      </c>
      <c r="E339" s="4" t="s">
        <v>49</v>
      </c>
      <c r="F339" s="4" t="s">
        <v>25</v>
      </c>
      <c r="G339" s="4" t="s">
        <v>25</v>
      </c>
      <c r="H339" s="4" t="s">
        <v>25</v>
      </c>
      <c r="I339" s="5">
        <v>44743</v>
      </c>
      <c r="J339" s="6">
        <v>0</v>
      </c>
      <c r="K339" s="53">
        <v>0</v>
      </c>
      <c r="L339" s="6">
        <v>5.5609999999999999</v>
      </c>
      <c r="M339" s="53">
        <v>5.5609999999999999</v>
      </c>
      <c r="N339" s="6">
        <v>5.5609999999999999</v>
      </c>
      <c r="O339" s="53">
        <v>5.5609999999999999</v>
      </c>
      <c r="P339" s="6">
        <v>7</v>
      </c>
      <c r="Q339" s="4" t="s">
        <v>26</v>
      </c>
      <c r="R339" s="4">
        <v>0</v>
      </c>
      <c r="S339" s="6">
        <v>0</v>
      </c>
      <c r="T339" s="6">
        <v>28</v>
      </c>
      <c r="U339" s="6">
        <v>76</v>
      </c>
      <c r="V339" s="53">
        <f>IF(ISERROR(VLOOKUP($S$339,'TAR FIN'!$A$1:$O$85,15,0)),0,VLOOKUP($S$339,'TAR FIN'!$A$1:$O$85,15,0))</f>
        <v>0</v>
      </c>
      <c r="W339" s="53">
        <f>IF(ISERROR(VLOOKUP($T$339,'TAR FIN'!$A$1:$O$85,15,0)),0,VLOOKUP($T$339,'TAR FIN'!$A$1:$O$85,15,0))*(1-0.06)</f>
        <v>572.51639999999986</v>
      </c>
      <c r="X339" s="53">
        <f>IF(ISERROR(VLOOKUP($U$339,'TAR FIN'!$A$1:$O$85,15,0)),0,VLOOKUP($U$339,'TAR FIN'!$A$1:$O$85,15,0))*(1-0.06)</f>
        <v>112.7718</v>
      </c>
      <c r="Y339" s="53"/>
      <c r="Z339" s="53">
        <f ca="1">('TUSD BE'!$AM$48+'TUSD BF'!$AM$48+'TUSD CVA'!$AM$48)*1*(1-0.03)</f>
        <v>639.92505033897157</v>
      </c>
      <c r="AA339" s="53">
        <f>('TE BE'!$AB$38+'TE BF'!$AB$38+'TE CVA'!$AB$38)*1*(1-0.03)</f>
        <v>118.90878875575021</v>
      </c>
      <c r="AB339" s="6">
        <f>$K$339*$V$339</f>
        <v>0</v>
      </c>
      <c r="AC339" s="6">
        <f>$M$339*$W$339</f>
        <v>3183.7637003999994</v>
      </c>
      <c r="AD339" s="6">
        <f>$O$339*$X$339</f>
        <v>627.12397980000003</v>
      </c>
      <c r="AE339" s="6">
        <f>$K$339*$Y$339</f>
        <v>0</v>
      </c>
      <c r="AF339" s="6">
        <f ca="1">$M$339*$Z$339</f>
        <v>3558.623204935021</v>
      </c>
      <c r="AG339" s="6">
        <f>$O$339*$AA$339</f>
        <v>661.25177427072686</v>
      </c>
    </row>
    <row r="340" spans="1:33" ht="11.25" customHeight="1" x14ac:dyDescent="0.3">
      <c r="A340" s="4" t="s">
        <v>52</v>
      </c>
      <c r="B340" s="4" t="s">
        <v>33</v>
      </c>
      <c r="C340" s="4" t="s">
        <v>23</v>
      </c>
      <c r="D340" s="4" t="s">
        <v>48</v>
      </c>
      <c r="E340" s="4" t="s">
        <v>49</v>
      </c>
      <c r="F340" s="4" t="s">
        <v>25</v>
      </c>
      <c r="G340" s="4" t="s">
        <v>25</v>
      </c>
      <c r="H340" s="4" t="s">
        <v>25</v>
      </c>
      <c r="I340" s="5">
        <v>44774</v>
      </c>
      <c r="J340" s="6">
        <v>0</v>
      </c>
      <c r="K340" s="53">
        <v>0</v>
      </c>
      <c r="L340" s="6">
        <v>5.5609999999999999</v>
      </c>
      <c r="M340" s="53">
        <v>5.5609999999999999</v>
      </c>
      <c r="N340" s="6">
        <v>5.5609999999999999</v>
      </c>
      <c r="O340" s="53">
        <v>5.5609999999999999</v>
      </c>
      <c r="P340" s="6">
        <v>7</v>
      </c>
      <c r="Q340" s="4" t="s">
        <v>26</v>
      </c>
      <c r="R340" s="4">
        <v>0</v>
      </c>
      <c r="S340" s="6">
        <v>0</v>
      </c>
      <c r="T340" s="6">
        <v>28</v>
      </c>
      <c r="U340" s="6">
        <v>76</v>
      </c>
      <c r="V340" s="53">
        <f>IF(ISERROR(VLOOKUP($S$340,'TAR FIN'!$A$1:$O$85,15,0)),0,VLOOKUP($S$340,'TAR FIN'!$A$1:$O$85,15,0))</f>
        <v>0</v>
      </c>
      <c r="W340" s="53">
        <f>IF(ISERROR(VLOOKUP($T$340,'TAR FIN'!$A$1:$O$85,15,0)),0,VLOOKUP($T$340,'TAR FIN'!$A$1:$O$85,15,0))*(1-0.06)</f>
        <v>572.51639999999986</v>
      </c>
      <c r="X340" s="53">
        <f>IF(ISERROR(VLOOKUP($U$340,'TAR FIN'!$A$1:$O$85,15,0)),0,VLOOKUP($U$340,'TAR FIN'!$A$1:$O$85,15,0))*(1-0.06)</f>
        <v>112.7718</v>
      </c>
      <c r="Y340" s="53"/>
      <c r="Z340" s="53">
        <f ca="1">('TUSD BE'!$AM$48+'TUSD BF'!$AM$48+'TUSD CVA'!$AM$48)*1*(1-0.03)</f>
        <v>639.92505033897157</v>
      </c>
      <c r="AA340" s="53">
        <f>('TE BE'!$AB$38+'TE BF'!$AB$38+'TE CVA'!$AB$38)*1*(1-0.03)</f>
        <v>118.90878875575021</v>
      </c>
      <c r="AB340" s="6">
        <f>$K$340*$V$340</f>
        <v>0</v>
      </c>
      <c r="AC340" s="6">
        <f>$M$340*$W$340</f>
        <v>3183.7637003999994</v>
      </c>
      <c r="AD340" s="6">
        <f>$O$340*$X$340</f>
        <v>627.12397980000003</v>
      </c>
      <c r="AE340" s="6">
        <f>$K$340*$Y$340</f>
        <v>0</v>
      </c>
      <c r="AF340" s="6">
        <f ca="1">$M$340*$Z$340</f>
        <v>3558.623204935021</v>
      </c>
      <c r="AG340" s="6">
        <f>$O$340*$AA$340</f>
        <v>661.25177427072686</v>
      </c>
    </row>
    <row r="341" spans="1:33" ht="11.25" customHeight="1" x14ac:dyDescent="0.3">
      <c r="A341" s="4" t="s">
        <v>21</v>
      </c>
      <c r="B341" s="4" t="s">
        <v>45</v>
      </c>
      <c r="C341" s="4" t="s">
        <v>23</v>
      </c>
      <c r="D341" s="4" t="s">
        <v>46</v>
      </c>
      <c r="E341" s="4" t="s">
        <v>47</v>
      </c>
      <c r="F341" s="4" t="s">
        <v>25</v>
      </c>
      <c r="G341" s="4" t="s">
        <v>25</v>
      </c>
      <c r="H341" s="4" t="s">
        <v>25</v>
      </c>
      <c r="I341" s="5">
        <v>44440</v>
      </c>
      <c r="J341" s="6">
        <v>0</v>
      </c>
      <c r="K341" s="6">
        <v>0</v>
      </c>
      <c r="L341" s="6">
        <v>83.29</v>
      </c>
      <c r="M341" s="6">
        <v>83.29</v>
      </c>
      <c r="N341" s="6">
        <v>83.29</v>
      </c>
      <c r="O341" s="6">
        <v>83.29</v>
      </c>
      <c r="P341" s="6">
        <v>2</v>
      </c>
      <c r="Q341" s="4" t="s">
        <v>26</v>
      </c>
      <c r="R341" s="4">
        <v>0</v>
      </c>
      <c r="S341" s="6">
        <v>0</v>
      </c>
      <c r="T341" s="6">
        <v>46</v>
      </c>
      <c r="U341" s="6">
        <v>82</v>
      </c>
      <c r="V341" s="6">
        <f>IF(ISERROR(VLOOKUP($S$341,'TAR FIN'!$A$1:$O$85,15,0)),0,VLOOKUP($S$341,'TAR FIN'!$A$1:$O$85,15,0))</f>
        <v>0</v>
      </c>
      <c r="W341" s="6">
        <f>IF(ISERROR(VLOOKUP($T$341,'TAR FIN'!$A$1:$O$85,15,0)),0,VLOOKUP($T$341,'TAR FIN'!$A$1:$O$85,15,0))</f>
        <v>334.98</v>
      </c>
      <c r="X341" s="6">
        <f>IF(ISERROR(VLOOKUP($U$341,'TAR FIN'!$A$1:$O$85,15,0)),0,VLOOKUP($U$341,'TAR FIN'!$A$1:$O$85,15,0))</f>
        <v>65.989999999999995</v>
      </c>
      <c r="Y341" s="6"/>
      <c r="Z341" s="6">
        <f ca="1">('TUSD BE'!$AM$50+'TUSD BF'!$AM$50+'TUSD CVA'!$AM$50)*1</f>
        <v>362.84410070766432</v>
      </c>
      <c r="AA341" s="6">
        <f>('TE BE'!$AB$40+'TE BF'!$AB$40+'TE CVA'!$AB$40)*1</f>
        <v>67.422509088311983</v>
      </c>
      <c r="AB341" s="6">
        <f>$K$341*$V$341</f>
        <v>0</v>
      </c>
      <c r="AC341" s="6">
        <f>$M$341*$W$341</f>
        <v>27900.484200000003</v>
      </c>
      <c r="AD341" s="6">
        <f>$O$341*$X$341</f>
        <v>5496.3071</v>
      </c>
      <c r="AE341" s="6">
        <f>$K$341*$Y$341</f>
        <v>0</v>
      </c>
      <c r="AF341" s="6">
        <f ca="1">$M$341*$Z$341</f>
        <v>30221.285147941362</v>
      </c>
      <c r="AG341" s="6">
        <f>$O$341*$AA$341</f>
        <v>5615.6207819655056</v>
      </c>
    </row>
    <row r="342" spans="1:33" ht="11.25" customHeight="1" x14ac:dyDescent="0.3">
      <c r="A342" s="4" t="s">
        <v>21</v>
      </c>
      <c r="B342" s="4" t="s">
        <v>45</v>
      </c>
      <c r="C342" s="4" t="s">
        <v>23</v>
      </c>
      <c r="D342" s="4" t="s">
        <v>46</v>
      </c>
      <c r="E342" s="4" t="s">
        <v>47</v>
      </c>
      <c r="F342" s="4" t="s">
        <v>25</v>
      </c>
      <c r="G342" s="4" t="s">
        <v>25</v>
      </c>
      <c r="H342" s="4" t="s">
        <v>25</v>
      </c>
      <c r="I342" s="5">
        <v>44470</v>
      </c>
      <c r="J342" s="6">
        <v>0</v>
      </c>
      <c r="K342" s="6">
        <v>0</v>
      </c>
      <c r="L342" s="6">
        <v>83.29</v>
      </c>
      <c r="M342" s="6">
        <v>83.29</v>
      </c>
      <c r="N342" s="6">
        <v>83.29</v>
      </c>
      <c r="O342" s="6">
        <v>83.29</v>
      </c>
      <c r="P342" s="6">
        <v>2</v>
      </c>
      <c r="Q342" s="4" t="s">
        <v>26</v>
      </c>
      <c r="R342" s="4">
        <v>0</v>
      </c>
      <c r="S342" s="6">
        <v>0</v>
      </c>
      <c r="T342" s="6">
        <v>46</v>
      </c>
      <c r="U342" s="6">
        <v>82</v>
      </c>
      <c r="V342" s="6">
        <f>IF(ISERROR(VLOOKUP($S$342,'TAR FIN'!$A$1:$O$85,15,0)),0,VLOOKUP($S$342,'TAR FIN'!$A$1:$O$85,15,0))</f>
        <v>0</v>
      </c>
      <c r="W342" s="6">
        <f>IF(ISERROR(VLOOKUP($T$342,'TAR FIN'!$A$1:$O$85,15,0)),0,VLOOKUP($T$342,'TAR FIN'!$A$1:$O$85,15,0))</f>
        <v>334.98</v>
      </c>
      <c r="X342" s="6">
        <f>IF(ISERROR(VLOOKUP($U$342,'TAR FIN'!$A$1:$O$85,15,0)),0,VLOOKUP($U$342,'TAR FIN'!$A$1:$O$85,15,0))</f>
        <v>65.989999999999995</v>
      </c>
      <c r="Y342" s="6"/>
      <c r="Z342" s="6">
        <f ca="1">('TUSD BE'!$AM$50+'TUSD BF'!$AM$50+'TUSD CVA'!$AM$50)*1</f>
        <v>362.84410070766432</v>
      </c>
      <c r="AA342" s="6">
        <f>('TE BE'!$AB$40+'TE BF'!$AB$40+'TE CVA'!$AB$40)*1</f>
        <v>67.422509088311983</v>
      </c>
      <c r="AB342" s="6">
        <f>$K$342*$V$342</f>
        <v>0</v>
      </c>
      <c r="AC342" s="6">
        <f>$M$342*$W$342</f>
        <v>27900.484200000003</v>
      </c>
      <c r="AD342" s="6">
        <f>$O$342*$X$342</f>
        <v>5496.3071</v>
      </c>
      <c r="AE342" s="6">
        <f>$K$342*$Y$342</f>
        <v>0</v>
      </c>
      <c r="AF342" s="6">
        <f ca="1">$M$342*$Z$342</f>
        <v>30221.285147941362</v>
      </c>
      <c r="AG342" s="6">
        <f>$O$342*$AA$342</f>
        <v>5615.6207819655056</v>
      </c>
    </row>
    <row r="343" spans="1:33" ht="11.25" customHeight="1" x14ac:dyDescent="0.3">
      <c r="A343" s="4" t="s">
        <v>21</v>
      </c>
      <c r="B343" s="4" t="s">
        <v>45</v>
      </c>
      <c r="C343" s="4" t="s">
        <v>23</v>
      </c>
      <c r="D343" s="4" t="s">
        <v>46</v>
      </c>
      <c r="E343" s="4" t="s">
        <v>47</v>
      </c>
      <c r="F343" s="4" t="s">
        <v>25</v>
      </c>
      <c r="G343" s="4" t="s">
        <v>25</v>
      </c>
      <c r="H343" s="4" t="s">
        <v>25</v>
      </c>
      <c r="I343" s="5">
        <v>44501</v>
      </c>
      <c r="J343" s="6">
        <v>0</v>
      </c>
      <c r="K343" s="6">
        <v>0</v>
      </c>
      <c r="L343" s="6">
        <v>83.29</v>
      </c>
      <c r="M343" s="6">
        <v>83.29</v>
      </c>
      <c r="N343" s="6">
        <v>83.29</v>
      </c>
      <c r="O343" s="6">
        <v>83.29</v>
      </c>
      <c r="P343" s="6">
        <v>2</v>
      </c>
      <c r="Q343" s="4" t="s">
        <v>26</v>
      </c>
      <c r="R343" s="4">
        <v>0</v>
      </c>
      <c r="S343" s="6">
        <v>0</v>
      </c>
      <c r="T343" s="6">
        <v>46</v>
      </c>
      <c r="U343" s="6">
        <v>82</v>
      </c>
      <c r="V343" s="6">
        <f>IF(ISERROR(VLOOKUP($S$343,'TAR FIN'!$A$1:$O$85,15,0)),0,VLOOKUP($S$343,'TAR FIN'!$A$1:$O$85,15,0))</f>
        <v>0</v>
      </c>
      <c r="W343" s="6">
        <f>IF(ISERROR(VLOOKUP($T$343,'TAR FIN'!$A$1:$O$85,15,0)),0,VLOOKUP($T$343,'TAR FIN'!$A$1:$O$85,15,0))</f>
        <v>334.98</v>
      </c>
      <c r="X343" s="6">
        <f>IF(ISERROR(VLOOKUP($U$343,'TAR FIN'!$A$1:$O$85,15,0)),0,VLOOKUP($U$343,'TAR FIN'!$A$1:$O$85,15,0))</f>
        <v>65.989999999999995</v>
      </c>
      <c r="Y343" s="6"/>
      <c r="Z343" s="6">
        <f ca="1">('TUSD BE'!$AM$50+'TUSD BF'!$AM$50+'TUSD CVA'!$AM$50)*1</f>
        <v>362.84410070766432</v>
      </c>
      <c r="AA343" s="6">
        <f>('TE BE'!$AB$40+'TE BF'!$AB$40+'TE CVA'!$AB$40)*1</f>
        <v>67.422509088311983</v>
      </c>
      <c r="AB343" s="6">
        <f>$K$343*$V$343</f>
        <v>0</v>
      </c>
      <c r="AC343" s="6">
        <f>$M$343*$W$343</f>
        <v>27900.484200000003</v>
      </c>
      <c r="AD343" s="6">
        <f>$O$343*$X$343</f>
        <v>5496.3071</v>
      </c>
      <c r="AE343" s="6">
        <f>$K$343*$Y$343</f>
        <v>0</v>
      </c>
      <c r="AF343" s="6">
        <f ca="1">$M$343*$Z$343</f>
        <v>30221.285147941362</v>
      </c>
      <c r="AG343" s="6">
        <f>$O$343*$AA$343</f>
        <v>5615.6207819655056</v>
      </c>
    </row>
    <row r="344" spans="1:33" ht="11.25" customHeight="1" x14ac:dyDescent="0.3">
      <c r="A344" s="4" t="s">
        <v>21</v>
      </c>
      <c r="B344" s="4" t="s">
        <v>45</v>
      </c>
      <c r="C344" s="4" t="s">
        <v>23</v>
      </c>
      <c r="D344" s="4" t="s">
        <v>46</v>
      </c>
      <c r="E344" s="4" t="s">
        <v>47</v>
      </c>
      <c r="F344" s="4" t="s">
        <v>25</v>
      </c>
      <c r="G344" s="4" t="s">
        <v>25</v>
      </c>
      <c r="H344" s="4" t="s">
        <v>25</v>
      </c>
      <c r="I344" s="5">
        <v>44531</v>
      </c>
      <c r="J344" s="6">
        <v>0</v>
      </c>
      <c r="K344" s="6">
        <v>0</v>
      </c>
      <c r="L344" s="6">
        <v>83.29</v>
      </c>
      <c r="M344" s="6">
        <v>83.29</v>
      </c>
      <c r="N344" s="6">
        <v>83.29</v>
      </c>
      <c r="O344" s="6">
        <v>83.29</v>
      </c>
      <c r="P344" s="6">
        <v>2</v>
      </c>
      <c r="Q344" s="4" t="s">
        <v>26</v>
      </c>
      <c r="R344" s="4">
        <v>0</v>
      </c>
      <c r="S344" s="6">
        <v>0</v>
      </c>
      <c r="T344" s="6">
        <v>46</v>
      </c>
      <c r="U344" s="6">
        <v>82</v>
      </c>
      <c r="V344" s="6">
        <f>IF(ISERROR(VLOOKUP($S$344,'TAR FIN'!$A$1:$O$85,15,0)),0,VLOOKUP($S$344,'TAR FIN'!$A$1:$O$85,15,0))</f>
        <v>0</v>
      </c>
      <c r="W344" s="6">
        <f>IF(ISERROR(VLOOKUP($T$344,'TAR FIN'!$A$1:$O$85,15,0)),0,VLOOKUP($T$344,'TAR FIN'!$A$1:$O$85,15,0))</f>
        <v>334.98</v>
      </c>
      <c r="X344" s="6">
        <f>IF(ISERROR(VLOOKUP($U$344,'TAR FIN'!$A$1:$O$85,15,0)),0,VLOOKUP($U$344,'TAR FIN'!$A$1:$O$85,15,0))</f>
        <v>65.989999999999995</v>
      </c>
      <c r="Y344" s="6"/>
      <c r="Z344" s="6">
        <f ca="1">('TUSD BE'!$AM$50+'TUSD BF'!$AM$50+'TUSD CVA'!$AM$50)*1</f>
        <v>362.84410070766432</v>
      </c>
      <c r="AA344" s="6">
        <f>('TE BE'!$AB$40+'TE BF'!$AB$40+'TE CVA'!$AB$40)*1</f>
        <v>67.422509088311983</v>
      </c>
      <c r="AB344" s="6">
        <f>$K$344*$V$344</f>
        <v>0</v>
      </c>
      <c r="AC344" s="6">
        <f>$M$344*$W$344</f>
        <v>27900.484200000003</v>
      </c>
      <c r="AD344" s="6">
        <f>$O$344*$X$344</f>
        <v>5496.3071</v>
      </c>
      <c r="AE344" s="6">
        <f>$K$344*$Y$344</f>
        <v>0</v>
      </c>
      <c r="AF344" s="6">
        <f ca="1">$M$344*$Z$344</f>
        <v>30221.285147941362</v>
      </c>
      <c r="AG344" s="6">
        <f>$O$344*$AA$344</f>
        <v>5615.6207819655056</v>
      </c>
    </row>
    <row r="345" spans="1:33" ht="11.25" customHeight="1" x14ac:dyDescent="0.3">
      <c r="A345" s="4" t="s">
        <v>21</v>
      </c>
      <c r="B345" s="4" t="s">
        <v>45</v>
      </c>
      <c r="C345" s="4" t="s">
        <v>23</v>
      </c>
      <c r="D345" s="4" t="s">
        <v>46</v>
      </c>
      <c r="E345" s="4" t="s">
        <v>47</v>
      </c>
      <c r="F345" s="4" t="s">
        <v>25</v>
      </c>
      <c r="G345" s="4" t="s">
        <v>25</v>
      </c>
      <c r="H345" s="4" t="s">
        <v>25</v>
      </c>
      <c r="I345" s="5">
        <v>44562</v>
      </c>
      <c r="J345" s="6">
        <v>0</v>
      </c>
      <c r="K345" s="6">
        <v>0</v>
      </c>
      <c r="L345" s="6">
        <v>84.697999999999993</v>
      </c>
      <c r="M345" s="6">
        <v>84.697999999999993</v>
      </c>
      <c r="N345" s="6">
        <v>84.697999999999993</v>
      </c>
      <c r="O345" s="6">
        <v>84.697999999999993</v>
      </c>
      <c r="P345" s="6">
        <v>2</v>
      </c>
      <c r="Q345" s="4" t="s">
        <v>26</v>
      </c>
      <c r="R345" s="4">
        <v>0</v>
      </c>
      <c r="S345" s="6">
        <v>0</v>
      </c>
      <c r="T345" s="6">
        <v>46</v>
      </c>
      <c r="U345" s="6">
        <v>82</v>
      </c>
      <c r="V345" s="6">
        <f>IF(ISERROR(VLOOKUP($S$345,'TAR FIN'!$A$1:$O$85,15,0)),0,VLOOKUP($S$345,'TAR FIN'!$A$1:$O$85,15,0))</f>
        <v>0</v>
      </c>
      <c r="W345" s="6">
        <f>IF(ISERROR(VLOOKUP($T$345,'TAR FIN'!$A$1:$O$85,15,0)),0,VLOOKUP($T$345,'TAR FIN'!$A$1:$O$85,15,0))</f>
        <v>334.98</v>
      </c>
      <c r="X345" s="6">
        <f>IF(ISERROR(VLOOKUP($U$345,'TAR FIN'!$A$1:$O$85,15,0)),0,VLOOKUP($U$345,'TAR FIN'!$A$1:$O$85,15,0))</f>
        <v>65.989999999999995</v>
      </c>
      <c r="Y345" s="6"/>
      <c r="Z345" s="6">
        <f ca="1">('TUSD BE'!$AM$50+'TUSD BF'!$AM$50+'TUSD CVA'!$AM$50)*1</f>
        <v>362.84410070766432</v>
      </c>
      <c r="AA345" s="6">
        <f>('TE BE'!$AB$40+'TE BF'!$AB$40+'TE CVA'!$AB$40)*1</f>
        <v>67.422509088311983</v>
      </c>
      <c r="AB345" s="6">
        <f>$K$345*$V$345</f>
        <v>0</v>
      </c>
      <c r="AC345" s="6">
        <f>$M$345*$W$345</f>
        <v>28372.136039999998</v>
      </c>
      <c r="AD345" s="6">
        <f>$O$345*$X$345</f>
        <v>5589.221019999999</v>
      </c>
      <c r="AE345" s="6">
        <f>$K$345*$Y$345</f>
        <v>0</v>
      </c>
      <c r="AF345" s="6">
        <f ca="1">$M$345*$Z$345</f>
        <v>30732.16964173775</v>
      </c>
      <c r="AG345" s="6">
        <f>$O$345*$AA$345</f>
        <v>5710.5516747618476</v>
      </c>
    </row>
    <row r="346" spans="1:33" ht="11.25" customHeight="1" x14ac:dyDescent="0.3">
      <c r="A346" s="4" t="s">
        <v>21</v>
      </c>
      <c r="B346" s="4" t="s">
        <v>45</v>
      </c>
      <c r="C346" s="4" t="s">
        <v>23</v>
      </c>
      <c r="D346" s="4" t="s">
        <v>46</v>
      </c>
      <c r="E346" s="4" t="s">
        <v>47</v>
      </c>
      <c r="F346" s="4" t="s">
        <v>25</v>
      </c>
      <c r="G346" s="4" t="s">
        <v>25</v>
      </c>
      <c r="H346" s="4" t="s">
        <v>25</v>
      </c>
      <c r="I346" s="5">
        <v>44593</v>
      </c>
      <c r="J346" s="6">
        <v>0</v>
      </c>
      <c r="K346" s="6">
        <v>0</v>
      </c>
      <c r="L346" s="6">
        <v>84.697999999999993</v>
      </c>
      <c r="M346" s="6">
        <v>84.697999999999993</v>
      </c>
      <c r="N346" s="6">
        <v>84.697999999999993</v>
      </c>
      <c r="O346" s="6">
        <v>84.697999999999993</v>
      </c>
      <c r="P346" s="6">
        <v>2</v>
      </c>
      <c r="Q346" s="4" t="s">
        <v>26</v>
      </c>
      <c r="R346" s="4">
        <v>0</v>
      </c>
      <c r="S346" s="6">
        <v>0</v>
      </c>
      <c r="T346" s="6">
        <v>46</v>
      </c>
      <c r="U346" s="6">
        <v>82</v>
      </c>
      <c r="V346" s="6">
        <f>IF(ISERROR(VLOOKUP($S$346,'TAR FIN'!$A$1:$O$85,15,0)),0,VLOOKUP($S$346,'TAR FIN'!$A$1:$O$85,15,0))</f>
        <v>0</v>
      </c>
      <c r="W346" s="6">
        <f>IF(ISERROR(VLOOKUP($T$346,'TAR FIN'!$A$1:$O$85,15,0)),0,VLOOKUP($T$346,'TAR FIN'!$A$1:$O$85,15,0))</f>
        <v>334.98</v>
      </c>
      <c r="X346" s="6">
        <f>IF(ISERROR(VLOOKUP($U$346,'TAR FIN'!$A$1:$O$85,15,0)),0,VLOOKUP($U$346,'TAR FIN'!$A$1:$O$85,15,0))</f>
        <v>65.989999999999995</v>
      </c>
      <c r="Y346" s="6"/>
      <c r="Z346" s="6">
        <f ca="1">('TUSD BE'!$AM$50+'TUSD BF'!$AM$50+'TUSD CVA'!$AM$50)*1</f>
        <v>362.84410070766432</v>
      </c>
      <c r="AA346" s="6">
        <f>('TE BE'!$AB$40+'TE BF'!$AB$40+'TE CVA'!$AB$40)*1</f>
        <v>67.422509088311983</v>
      </c>
      <c r="AB346" s="6">
        <f>$K$346*$V$346</f>
        <v>0</v>
      </c>
      <c r="AC346" s="6">
        <f>$M$346*$W$346</f>
        <v>28372.136039999998</v>
      </c>
      <c r="AD346" s="6">
        <f>$O$346*$X$346</f>
        <v>5589.221019999999</v>
      </c>
      <c r="AE346" s="6">
        <f>$K$346*$Y$346</f>
        <v>0</v>
      </c>
      <c r="AF346" s="6">
        <f ca="1">$M$346*$Z$346</f>
        <v>30732.16964173775</v>
      </c>
      <c r="AG346" s="6">
        <f>$O$346*$AA$346</f>
        <v>5710.5516747618476</v>
      </c>
    </row>
    <row r="347" spans="1:33" ht="11.25" customHeight="1" x14ac:dyDescent="0.3">
      <c r="A347" s="4" t="s">
        <v>21</v>
      </c>
      <c r="B347" s="4" t="s">
        <v>45</v>
      </c>
      <c r="C347" s="4" t="s">
        <v>23</v>
      </c>
      <c r="D347" s="4" t="s">
        <v>46</v>
      </c>
      <c r="E347" s="4" t="s">
        <v>47</v>
      </c>
      <c r="F347" s="4" t="s">
        <v>25</v>
      </c>
      <c r="G347" s="4" t="s">
        <v>25</v>
      </c>
      <c r="H347" s="4" t="s">
        <v>25</v>
      </c>
      <c r="I347" s="5">
        <v>44621</v>
      </c>
      <c r="J347" s="6">
        <v>0</v>
      </c>
      <c r="K347" s="6">
        <v>0</v>
      </c>
      <c r="L347" s="6">
        <v>84.697999999999993</v>
      </c>
      <c r="M347" s="6">
        <v>84.697999999999993</v>
      </c>
      <c r="N347" s="6">
        <v>84.697999999999993</v>
      </c>
      <c r="O347" s="6">
        <v>84.697999999999993</v>
      </c>
      <c r="P347" s="6">
        <v>2</v>
      </c>
      <c r="Q347" s="4" t="s">
        <v>26</v>
      </c>
      <c r="R347" s="4">
        <v>0</v>
      </c>
      <c r="S347" s="6">
        <v>0</v>
      </c>
      <c r="T347" s="6">
        <v>46</v>
      </c>
      <c r="U347" s="6">
        <v>82</v>
      </c>
      <c r="V347" s="6">
        <f>IF(ISERROR(VLOOKUP($S$347,'TAR FIN'!$A$1:$O$85,15,0)),0,VLOOKUP($S$347,'TAR FIN'!$A$1:$O$85,15,0))</f>
        <v>0</v>
      </c>
      <c r="W347" s="6">
        <f>IF(ISERROR(VLOOKUP($T$347,'TAR FIN'!$A$1:$O$85,15,0)),0,VLOOKUP($T$347,'TAR FIN'!$A$1:$O$85,15,0))</f>
        <v>334.98</v>
      </c>
      <c r="X347" s="6">
        <f>IF(ISERROR(VLOOKUP($U$347,'TAR FIN'!$A$1:$O$85,15,0)),0,VLOOKUP($U$347,'TAR FIN'!$A$1:$O$85,15,0))</f>
        <v>65.989999999999995</v>
      </c>
      <c r="Y347" s="6"/>
      <c r="Z347" s="6">
        <f ca="1">('TUSD BE'!$AM$50+'TUSD BF'!$AM$50+'TUSD CVA'!$AM$50)*1</f>
        <v>362.84410070766432</v>
      </c>
      <c r="AA347" s="6">
        <f>('TE BE'!$AB$40+'TE BF'!$AB$40+'TE CVA'!$AB$40)*1</f>
        <v>67.422509088311983</v>
      </c>
      <c r="AB347" s="6">
        <f>$K$347*$V$347</f>
        <v>0</v>
      </c>
      <c r="AC347" s="6">
        <f>$M$347*$W$347</f>
        <v>28372.136039999998</v>
      </c>
      <c r="AD347" s="6">
        <f>$O$347*$X$347</f>
        <v>5589.221019999999</v>
      </c>
      <c r="AE347" s="6">
        <f>$K$347*$Y$347</f>
        <v>0</v>
      </c>
      <c r="AF347" s="6">
        <f ca="1">$M$347*$Z$347</f>
        <v>30732.16964173775</v>
      </c>
      <c r="AG347" s="6">
        <f>$O$347*$AA$347</f>
        <v>5710.5516747618476</v>
      </c>
    </row>
    <row r="348" spans="1:33" ht="11.25" customHeight="1" x14ac:dyDescent="0.3">
      <c r="A348" s="4" t="s">
        <v>21</v>
      </c>
      <c r="B348" s="4" t="s">
        <v>45</v>
      </c>
      <c r="C348" s="4" t="s">
        <v>23</v>
      </c>
      <c r="D348" s="4" t="s">
        <v>46</v>
      </c>
      <c r="E348" s="4" t="s">
        <v>47</v>
      </c>
      <c r="F348" s="4" t="s">
        <v>25</v>
      </c>
      <c r="G348" s="4" t="s">
        <v>25</v>
      </c>
      <c r="H348" s="4" t="s">
        <v>25</v>
      </c>
      <c r="I348" s="5">
        <v>44652</v>
      </c>
      <c r="J348" s="6">
        <v>0</v>
      </c>
      <c r="K348" s="6">
        <v>0</v>
      </c>
      <c r="L348" s="6">
        <v>84.697999999999993</v>
      </c>
      <c r="M348" s="6">
        <v>84.697999999999993</v>
      </c>
      <c r="N348" s="6">
        <v>84.697999999999993</v>
      </c>
      <c r="O348" s="6">
        <v>84.697999999999993</v>
      </c>
      <c r="P348" s="6">
        <v>2</v>
      </c>
      <c r="Q348" s="4" t="s">
        <v>26</v>
      </c>
      <c r="R348" s="4">
        <v>0</v>
      </c>
      <c r="S348" s="6">
        <v>0</v>
      </c>
      <c r="T348" s="6">
        <v>46</v>
      </c>
      <c r="U348" s="6">
        <v>82</v>
      </c>
      <c r="V348" s="6">
        <f>IF(ISERROR(VLOOKUP($S$348,'TAR FIN'!$A$1:$O$85,15,0)),0,VLOOKUP($S$348,'TAR FIN'!$A$1:$O$85,15,0))</f>
        <v>0</v>
      </c>
      <c r="W348" s="6">
        <f>IF(ISERROR(VLOOKUP($T$348,'TAR FIN'!$A$1:$O$85,15,0)),0,VLOOKUP($T$348,'TAR FIN'!$A$1:$O$85,15,0))</f>
        <v>334.98</v>
      </c>
      <c r="X348" s="6">
        <f>IF(ISERROR(VLOOKUP($U$348,'TAR FIN'!$A$1:$O$85,15,0)),0,VLOOKUP($U$348,'TAR FIN'!$A$1:$O$85,15,0))</f>
        <v>65.989999999999995</v>
      </c>
      <c r="Y348" s="6"/>
      <c r="Z348" s="6">
        <f ca="1">('TUSD BE'!$AM$50+'TUSD BF'!$AM$50+'TUSD CVA'!$AM$50)*1</f>
        <v>362.84410070766432</v>
      </c>
      <c r="AA348" s="6">
        <f>('TE BE'!$AB$40+'TE BF'!$AB$40+'TE CVA'!$AB$40)*1</f>
        <v>67.422509088311983</v>
      </c>
      <c r="AB348" s="6">
        <f>$K$348*$V$348</f>
        <v>0</v>
      </c>
      <c r="AC348" s="6">
        <f>$M$348*$W$348</f>
        <v>28372.136039999998</v>
      </c>
      <c r="AD348" s="6">
        <f>$O$348*$X$348</f>
        <v>5589.221019999999</v>
      </c>
      <c r="AE348" s="6">
        <f>$K$348*$Y$348</f>
        <v>0</v>
      </c>
      <c r="AF348" s="6">
        <f ca="1">$M$348*$Z$348</f>
        <v>30732.16964173775</v>
      </c>
      <c r="AG348" s="6">
        <f>$O$348*$AA$348</f>
        <v>5710.5516747618476</v>
      </c>
    </row>
    <row r="349" spans="1:33" ht="11.25" customHeight="1" x14ac:dyDescent="0.3">
      <c r="A349" s="4" t="s">
        <v>21</v>
      </c>
      <c r="B349" s="4" t="s">
        <v>45</v>
      </c>
      <c r="C349" s="4" t="s">
        <v>23</v>
      </c>
      <c r="D349" s="4" t="s">
        <v>46</v>
      </c>
      <c r="E349" s="4" t="s">
        <v>47</v>
      </c>
      <c r="F349" s="4" t="s">
        <v>25</v>
      </c>
      <c r="G349" s="4" t="s">
        <v>25</v>
      </c>
      <c r="H349" s="4" t="s">
        <v>25</v>
      </c>
      <c r="I349" s="5">
        <v>44682</v>
      </c>
      <c r="J349" s="6">
        <v>0</v>
      </c>
      <c r="K349" s="6">
        <v>0</v>
      </c>
      <c r="L349" s="6">
        <v>84.697999999999993</v>
      </c>
      <c r="M349" s="6">
        <v>84.697999999999993</v>
      </c>
      <c r="N349" s="6">
        <v>84.697999999999993</v>
      </c>
      <c r="O349" s="6">
        <v>84.697999999999993</v>
      </c>
      <c r="P349" s="6">
        <v>2</v>
      </c>
      <c r="Q349" s="4" t="s">
        <v>26</v>
      </c>
      <c r="R349" s="4">
        <v>0</v>
      </c>
      <c r="S349" s="6">
        <v>0</v>
      </c>
      <c r="T349" s="6">
        <v>46</v>
      </c>
      <c r="U349" s="6">
        <v>82</v>
      </c>
      <c r="V349" s="6">
        <f>IF(ISERROR(VLOOKUP($S$349,'TAR FIN'!$A$1:$O$85,15,0)),0,VLOOKUP($S$349,'TAR FIN'!$A$1:$O$85,15,0))</f>
        <v>0</v>
      </c>
      <c r="W349" s="6">
        <f>IF(ISERROR(VLOOKUP($T$349,'TAR FIN'!$A$1:$O$85,15,0)),0,VLOOKUP($T$349,'TAR FIN'!$A$1:$O$85,15,0))</f>
        <v>334.98</v>
      </c>
      <c r="X349" s="6">
        <f>IF(ISERROR(VLOOKUP($U$349,'TAR FIN'!$A$1:$O$85,15,0)),0,VLOOKUP($U$349,'TAR FIN'!$A$1:$O$85,15,0))</f>
        <v>65.989999999999995</v>
      </c>
      <c r="Y349" s="6"/>
      <c r="Z349" s="6">
        <f ca="1">('TUSD BE'!$AM$50+'TUSD BF'!$AM$50+'TUSD CVA'!$AM$50)*1</f>
        <v>362.84410070766432</v>
      </c>
      <c r="AA349" s="6">
        <f>('TE BE'!$AB$40+'TE BF'!$AB$40+'TE CVA'!$AB$40)*1</f>
        <v>67.422509088311983</v>
      </c>
      <c r="AB349" s="6">
        <f>$K$349*$V$349</f>
        <v>0</v>
      </c>
      <c r="AC349" s="6">
        <f>$M$349*$W$349</f>
        <v>28372.136039999998</v>
      </c>
      <c r="AD349" s="6">
        <f>$O$349*$X$349</f>
        <v>5589.221019999999</v>
      </c>
      <c r="AE349" s="6">
        <f>$K$349*$Y$349</f>
        <v>0</v>
      </c>
      <c r="AF349" s="6">
        <f ca="1">$M$349*$Z$349</f>
        <v>30732.16964173775</v>
      </c>
      <c r="AG349" s="6">
        <f>$O$349*$AA$349</f>
        <v>5710.5516747618476</v>
      </c>
    </row>
    <row r="350" spans="1:33" ht="11.25" customHeight="1" x14ac:dyDescent="0.3">
      <c r="A350" s="4" t="s">
        <v>21</v>
      </c>
      <c r="B350" s="4" t="s">
        <v>45</v>
      </c>
      <c r="C350" s="4" t="s">
        <v>23</v>
      </c>
      <c r="D350" s="4" t="s">
        <v>46</v>
      </c>
      <c r="E350" s="4" t="s">
        <v>47</v>
      </c>
      <c r="F350" s="4" t="s">
        <v>25</v>
      </c>
      <c r="G350" s="4" t="s">
        <v>25</v>
      </c>
      <c r="H350" s="4" t="s">
        <v>25</v>
      </c>
      <c r="I350" s="5">
        <v>44713</v>
      </c>
      <c r="J350" s="6">
        <v>0</v>
      </c>
      <c r="K350" s="6">
        <v>0</v>
      </c>
      <c r="L350" s="6">
        <v>84.697999999999993</v>
      </c>
      <c r="M350" s="6">
        <v>84.697999999999993</v>
      </c>
      <c r="N350" s="6">
        <v>84.697999999999993</v>
      </c>
      <c r="O350" s="6">
        <v>84.697999999999993</v>
      </c>
      <c r="P350" s="6">
        <v>2</v>
      </c>
      <c r="Q350" s="4" t="s">
        <v>26</v>
      </c>
      <c r="R350" s="4">
        <v>0</v>
      </c>
      <c r="S350" s="6">
        <v>0</v>
      </c>
      <c r="T350" s="6">
        <v>46</v>
      </c>
      <c r="U350" s="6">
        <v>82</v>
      </c>
      <c r="V350" s="6">
        <f>IF(ISERROR(VLOOKUP($S$350,'TAR FIN'!$A$1:$O$85,15,0)),0,VLOOKUP($S$350,'TAR FIN'!$A$1:$O$85,15,0))</f>
        <v>0</v>
      </c>
      <c r="W350" s="6">
        <f>IF(ISERROR(VLOOKUP($T$350,'TAR FIN'!$A$1:$O$85,15,0)),0,VLOOKUP($T$350,'TAR FIN'!$A$1:$O$85,15,0))</f>
        <v>334.98</v>
      </c>
      <c r="X350" s="6">
        <f>IF(ISERROR(VLOOKUP($U$350,'TAR FIN'!$A$1:$O$85,15,0)),0,VLOOKUP($U$350,'TAR FIN'!$A$1:$O$85,15,0))</f>
        <v>65.989999999999995</v>
      </c>
      <c r="Y350" s="6"/>
      <c r="Z350" s="6">
        <f ca="1">('TUSD BE'!$AM$50+'TUSD BF'!$AM$50+'TUSD CVA'!$AM$50)*1</f>
        <v>362.84410070766432</v>
      </c>
      <c r="AA350" s="6">
        <f>('TE BE'!$AB$40+'TE BF'!$AB$40+'TE CVA'!$AB$40)*1</f>
        <v>67.422509088311983</v>
      </c>
      <c r="AB350" s="6">
        <f>$K$350*$V$350</f>
        <v>0</v>
      </c>
      <c r="AC350" s="6">
        <f>$M$350*$W$350</f>
        <v>28372.136039999998</v>
      </c>
      <c r="AD350" s="6">
        <f>$O$350*$X$350</f>
        <v>5589.221019999999</v>
      </c>
      <c r="AE350" s="6">
        <f>$K$350*$Y$350</f>
        <v>0</v>
      </c>
      <c r="AF350" s="6">
        <f ca="1">$M$350*$Z$350</f>
        <v>30732.16964173775</v>
      </c>
      <c r="AG350" s="6">
        <f>$O$350*$AA$350</f>
        <v>5710.5516747618476</v>
      </c>
    </row>
    <row r="351" spans="1:33" ht="11.25" customHeight="1" x14ac:dyDescent="0.3">
      <c r="A351" s="4" t="s">
        <v>21</v>
      </c>
      <c r="B351" s="4" t="s">
        <v>45</v>
      </c>
      <c r="C351" s="4" t="s">
        <v>23</v>
      </c>
      <c r="D351" s="4" t="s">
        <v>46</v>
      </c>
      <c r="E351" s="4" t="s">
        <v>47</v>
      </c>
      <c r="F351" s="4" t="s">
        <v>25</v>
      </c>
      <c r="G351" s="4" t="s">
        <v>25</v>
      </c>
      <c r="H351" s="4" t="s">
        <v>25</v>
      </c>
      <c r="I351" s="5">
        <v>44743</v>
      </c>
      <c r="J351" s="6">
        <v>0</v>
      </c>
      <c r="K351" s="6">
        <v>0</v>
      </c>
      <c r="L351" s="6">
        <v>84.697999999999993</v>
      </c>
      <c r="M351" s="6">
        <v>84.697999999999993</v>
      </c>
      <c r="N351" s="6">
        <v>84.697999999999993</v>
      </c>
      <c r="O351" s="6">
        <v>84.697999999999993</v>
      </c>
      <c r="P351" s="6">
        <v>2</v>
      </c>
      <c r="Q351" s="4" t="s">
        <v>26</v>
      </c>
      <c r="R351" s="4">
        <v>0</v>
      </c>
      <c r="S351" s="6">
        <v>0</v>
      </c>
      <c r="T351" s="6">
        <v>46</v>
      </c>
      <c r="U351" s="6">
        <v>82</v>
      </c>
      <c r="V351" s="6">
        <f>IF(ISERROR(VLOOKUP($S$351,'TAR FIN'!$A$1:$O$85,15,0)),0,VLOOKUP($S$351,'TAR FIN'!$A$1:$O$85,15,0))</f>
        <v>0</v>
      </c>
      <c r="W351" s="6">
        <f>IF(ISERROR(VLOOKUP($T$351,'TAR FIN'!$A$1:$O$85,15,0)),0,VLOOKUP($T$351,'TAR FIN'!$A$1:$O$85,15,0))</f>
        <v>334.98</v>
      </c>
      <c r="X351" s="6">
        <f>IF(ISERROR(VLOOKUP($U$351,'TAR FIN'!$A$1:$O$85,15,0)),0,VLOOKUP($U$351,'TAR FIN'!$A$1:$O$85,15,0))</f>
        <v>65.989999999999995</v>
      </c>
      <c r="Y351" s="6"/>
      <c r="Z351" s="6">
        <f ca="1">('TUSD BE'!$AM$50+'TUSD BF'!$AM$50+'TUSD CVA'!$AM$50)*1</f>
        <v>362.84410070766432</v>
      </c>
      <c r="AA351" s="6">
        <f>('TE BE'!$AB$40+'TE BF'!$AB$40+'TE CVA'!$AB$40)*1</f>
        <v>67.422509088311983</v>
      </c>
      <c r="AB351" s="6">
        <f>$K$351*$V$351</f>
        <v>0</v>
      </c>
      <c r="AC351" s="6">
        <f>$M$351*$W$351</f>
        <v>28372.136039999998</v>
      </c>
      <c r="AD351" s="6">
        <f>$O$351*$X$351</f>
        <v>5589.221019999999</v>
      </c>
      <c r="AE351" s="6">
        <f>$K$351*$Y$351</f>
        <v>0</v>
      </c>
      <c r="AF351" s="6">
        <f ca="1">$M$351*$Z$351</f>
        <v>30732.16964173775</v>
      </c>
      <c r="AG351" s="6">
        <f>$O$351*$AA$351</f>
        <v>5710.5516747618476</v>
      </c>
    </row>
    <row r="352" spans="1:33" ht="11.25" customHeight="1" x14ac:dyDescent="0.3">
      <c r="A352" s="4" t="s">
        <v>52</v>
      </c>
      <c r="B352" s="4" t="s">
        <v>45</v>
      </c>
      <c r="C352" s="4" t="s">
        <v>23</v>
      </c>
      <c r="D352" s="4" t="s">
        <v>46</v>
      </c>
      <c r="E352" s="4" t="s">
        <v>47</v>
      </c>
      <c r="F352" s="4" t="s">
        <v>25</v>
      </c>
      <c r="G352" s="4" t="s">
        <v>25</v>
      </c>
      <c r="H352" s="4" t="s">
        <v>25</v>
      </c>
      <c r="I352" s="5">
        <v>44774</v>
      </c>
      <c r="J352" s="6">
        <v>0</v>
      </c>
      <c r="K352" s="6">
        <v>0</v>
      </c>
      <c r="L352" s="6">
        <v>84.697999999999993</v>
      </c>
      <c r="M352" s="6">
        <v>84.697999999999993</v>
      </c>
      <c r="N352" s="6">
        <v>84.697999999999993</v>
      </c>
      <c r="O352" s="6">
        <v>84.697999999999993</v>
      </c>
      <c r="P352" s="6">
        <v>2</v>
      </c>
      <c r="Q352" s="4" t="s">
        <v>26</v>
      </c>
      <c r="R352" s="4">
        <v>0</v>
      </c>
      <c r="S352" s="6">
        <v>0</v>
      </c>
      <c r="T352" s="6">
        <v>46</v>
      </c>
      <c r="U352" s="6">
        <v>82</v>
      </c>
      <c r="V352" s="6">
        <f>IF(ISERROR(VLOOKUP($S$352,'TAR FIN'!$A$1:$O$85,15,0)),0,VLOOKUP($S$352,'TAR FIN'!$A$1:$O$85,15,0))</f>
        <v>0</v>
      </c>
      <c r="W352" s="6">
        <f>IF(ISERROR(VLOOKUP($T$352,'TAR FIN'!$A$1:$O$85,15,0)),0,VLOOKUP($T$352,'TAR FIN'!$A$1:$O$85,15,0))</f>
        <v>334.98</v>
      </c>
      <c r="X352" s="6">
        <f>IF(ISERROR(VLOOKUP($U$352,'TAR FIN'!$A$1:$O$85,15,0)),0,VLOOKUP($U$352,'TAR FIN'!$A$1:$O$85,15,0))</f>
        <v>65.989999999999995</v>
      </c>
      <c r="Y352" s="6"/>
      <c r="Z352" s="6">
        <f ca="1">('TUSD BE'!$AM$50+'TUSD BF'!$AM$50+'TUSD CVA'!$AM$50)*1</f>
        <v>362.84410070766432</v>
      </c>
      <c r="AA352" s="6">
        <f>('TE BE'!$AB$40+'TE BF'!$AB$40+'TE CVA'!$AB$40)*1</f>
        <v>67.422509088311983</v>
      </c>
      <c r="AB352" s="6">
        <f>$K$352*$V$352</f>
        <v>0</v>
      </c>
      <c r="AC352" s="6">
        <f>$M$352*$W$352</f>
        <v>28372.136039999998</v>
      </c>
      <c r="AD352" s="6">
        <f>$O$352*$X$352</f>
        <v>5589.221019999999</v>
      </c>
      <c r="AE352" s="6">
        <f>$K$352*$Y$352</f>
        <v>0</v>
      </c>
      <c r="AF352" s="6">
        <f ca="1">$M$352*$Z$352</f>
        <v>30732.16964173775</v>
      </c>
      <c r="AG352" s="6">
        <f>$O$352*$AA$352</f>
        <v>5710.5516747618476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F9057-61CC-4BBB-9FCD-04935394639C}">
  <sheetPr codeName="Planilha17"/>
  <dimension ref="A1:AJ353"/>
  <sheetViews>
    <sheetView showGridLines="0" topLeftCell="AA1" workbookViewId="0">
      <selection sqref="A1:AF134"/>
    </sheetView>
  </sheetViews>
  <sheetFormatPr defaultColWidth="9.109375" defaultRowHeight="11.25" customHeight="1" x14ac:dyDescent="0.3"/>
  <cols>
    <col min="1" max="1" width="19.109375" style="4" bestFit="1" customWidth="1"/>
    <col min="2" max="2" width="13.33203125" style="4" bestFit="1" customWidth="1"/>
    <col min="3" max="3" width="14.5546875" style="4" bestFit="1" customWidth="1"/>
    <col min="4" max="4" width="11.5546875" style="4" bestFit="1" customWidth="1"/>
    <col min="5" max="5" width="25.109375" style="4" bestFit="1" customWidth="1"/>
    <col min="6" max="6" width="11.44140625" style="4" bestFit="1" customWidth="1"/>
    <col min="7" max="7" width="11.33203125" style="4" bestFit="1" customWidth="1"/>
    <col min="8" max="8" width="10.33203125" style="4" bestFit="1" customWidth="1"/>
    <col min="9" max="9" width="12.109375" style="5" bestFit="1" customWidth="1"/>
    <col min="10" max="10" width="6.5546875" style="6" bestFit="1" customWidth="1"/>
    <col min="11" max="11" width="7.88671875" style="6" bestFit="1" customWidth="1"/>
    <col min="12" max="12" width="11.33203125" style="6" bestFit="1" customWidth="1"/>
    <col min="13" max="13" width="12.5546875" style="6" bestFit="1" customWidth="1"/>
    <col min="14" max="14" width="9.109375" style="6" bestFit="1" customWidth="1"/>
    <col min="15" max="15" width="10.44140625" style="6" bestFit="1" customWidth="1"/>
    <col min="16" max="16" width="7.6640625" style="6" bestFit="1" customWidth="1"/>
    <col min="17" max="17" width="11.109375" style="4" bestFit="1" customWidth="1"/>
    <col min="18" max="18" width="13.109375" style="4" bestFit="1" customWidth="1"/>
    <col min="19" max="19" width="23" style="4" bestFit="1" customWidth="1"/>
    <col min="20" max="20" width="24.44140625" style="4" bestFit="1" customWidth="1"/>
    <col min="21" max="21" width="22.33203125" style="4" bestFit="1" customWidth="1"/>
    <col min="22" max="22" width="15.88671875" style="4" bestFit="1" customWidth="1"/>
    <col min="23" max="23" width="17.33203125" style="4" bestFit="1" customWidth="1"/>
    <col min="24" max="24" width="15.109375" style="4" bestFit="1" customWidth="1"/>
    <col min="25" max="25" width="20.88671875" style="4" bestFit="1" customWidth="1"/>
    <col min="26" max="26" width="22.44140625" style="4" bestFit="1" customWidth="1"/>
    <col min="27" max="27" width="20.109375" style="4" bestFit="1" customWidth="1"/>
    <col min="28" max="28" width="19.109375" style="4" bestFit="1" customWidth="1"/>
    <col min="29" max="29" width="20.5546875" style="4" bestFit="1" customWidth="1"/>
    <col min="30" max="30" width="19" style="4" bestFit="1" customWidth="1"/>
    <col min="31" max="31" width="20.44140625" style="4" bestFit="1" customWidth="1"/>
    <col min="32" max="32" width="32.109375" style="4" bestFit="1" customWidth="1"/>
    <col min="33" max="33" width="9.109375" style="4"/>
    <col min="34" max="34" width="32.109375" style="4" bestFit="1" customWidth="1"/>
    <col min="35" max="36" width="8.6640625" style="4" bestFit="1" customWidth="1"/>
    <col min="37" max="16384" width="9.109375" style="4"/>
  </cols>
  <sheetData>
    <row r="1" spans="1:36" s="1" customFormat="1" ht="11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619</v>
      </c>
      <c r="AC1" s="1" t="s">
        <v>620</v>
      </c>
      <c r="AD1" s="1" t="s">
        <v>621</v>
      </c>
      <c r="AE1" s="1" t="s">
        <v>622</v>
      </c>
      <c r="AF1" s="1" t="s">
        <v>623</v>
      </c>
      <c r="AH1" s="35" t="s">
        <v>623</v>
      </c>
      <c r="AI1" s="35" t="s">
        <v>627</v>
      </c>
      <c r="AJ1" s="35" t="s">
        <v>628</v>
      </c>
    </row>
    <row r="2" spans="1:36" ht="11.25" customHeight="1" x14ac:dyDescent="0.3">
      <c r="A2" s="4" t="s">
        <v>21</v>
      </c>
      <c r="B2" s="4" t="s">
        <v>35</v>
      </c>
      <c r="C2" s="4" t="s">
        <v>50</v>
      </c>
      <c r="D2" s="4" t="s">
        <v>48</v>
      </c>
      <c r="E2" s="4" t="s">
        <v>49</v>
      </c>
      <c r="F2" s="4" t="s">
        <v>25</v>
      </c>
      <c r="G2" s="4" t="s">
        <v>25</v>
      </c>
      <c r="H2" s="4" t="s">
        <v>38</v>
      </c>
      <c r="I2" s="5">
        <v>44440</v>
      </c>
      <c r="J2" s="6">
        <v>100</v>
      </c>
      <c r="K2" s="53">
        <v>100</v>
      </c>
      <c r="L2" s="6">
        <v>40.451000000000001</v>
      </c>
      <c r="M2" s="53">
        <v>40.451000000000001</v>
      </c>
      <c r="N2" s="6">
        <v>40.451000000000001</v>
      </c>
      <c r="O2" s="53">
        <v>40.451000000000001</v>
      </c>
      <c r="P2" s="6">
        <v>0</v>
      </c>
      <c r="Q2" s="4" t="s">
        <v>26</v>
      </c>
      <c r="R2" s="4">
        <v>0</v>
      </c>
      <c r="S2" s="4">
        <v>21</v>
      </c>
      <c r="T2" s="4">
        <v>1</v>
      </c>
      <c r="U2" s="4">
        <v>40</v>
      </c>
      <c r="V2" s="53">
        <f>IF(ISERROR(VLOOKUP($S$2,'TAR FIN'!$A$1:$O$85,15,0)),0,VLOOKUP($S$2,'TAR FIN'!$A$1:$O$85,15,0))*(1-0.06)</f>
        <v>38.680999999999997</v>
      </c>
      <c r="W2" s="53">
        <f>IF(ISERROR(VLOOKUP($T$2,'TAR FIN'!$A$1:$O$85,15,0)),0,VLOOKUP($T$2,'TAR FIN'!$A$1:$O$85,15,0))*(1-0.06)</f>
        <v>62.077600000000004</v>
      </c>
      <c r="X2" s="53">
        <f>IF(ISERROR(VLOOKUP($U$2,'TAR FIN'!$A$1:$O$85,15,0)),0,VLOOKUP($U$2,'TAR FIN'!$A$1:$O$85,15,0))*(1-0.06)</f>
        <v>112.7718</v>
      </c>
      <c r="Y2" s="53">
        <f ca="1">('TUSD BE'!$AM$6+'TUSD BF'!$AM$6+'TUSD CVA'!$AM$6)*1*(1-0.03)</f>
        <v>40.203324927971032</v>
      </c>
      <c r="Z2" s="53">
        <f ca="1">('TUSD BE'!$AM$7+'TUSD BF'!$AM$7+'TUSD CVA'!$AM$7)*1*(1-0.03)</f>
        <v>98.026390524893429</v>
      </c>
      <c r="AA2" s="53">
        <f>('TE BE'!$AB$6+'TE BF'!$AB$6+'TE CVA'!$AB$6)*1*(1-0.03)</f>
        <v>118.90878875575021</v>
      </c>
      <c r="AB2" s="53">
        <f>(SUBSIDIO!$J$2*SUBSIDIO!$V$2)*(0.06)/(1-0.06)</f>
        <v>246.9</v>
      </c>
      <c r="AC2" s="53">
        <f>((SUBSIDIO!$L$2*SUBSIDIO!$W$2)+(SUBSIDIO!$N$2*SUBSIDIO!$X$2))*(0.06)/(1-0.06)</f>
        <v>451.45743059999995</v>
      </c>
      <c r="AD2" s="53">
        <f ca="1">(SUBSIDIO!$J$2*SUBSIDIO!$Y$2)*(0.03)/(1-0.03)</f>
        <v>124.34018018960113</v>
      </c>
      <c r="AE2" s="53">
        <f ca="1">((SUBSIDIO!$L$2*SUBSIDIO!$Z$2)+(SUBSIDIO!$N$2*SUBSIDIO!$AA$2))*(0.03)/(1-0.03)</f>
        <v>271.39932795096848</v>
      </c>
      <c r="AF2" s="4" t="s">
        <v>624</v>
      </c>
      <c r="AH2" s="36" t="s">
        <v>629</v>
      </c>
      <c r="AI2" s="37">
        <f t="shared" ref="AI2:AI9" si="0">SUMIF($AF$2:$AF$353,AH2,$AB$2:$AB$353)+SUMIF($AF$2:$AF$353,AH2,$AC$2:$AC$353)</f>
        <v>0</v>
      </c>
      <c r="AJ2" s="37">
        <f t="shared" ref="AJ2:AJ9" si="1">SUMIF($AF$2:$AF$353,AH2,$AD$2:$AD$353)+SUMIF($AF$2:$AF$353,AH2,$AE$2:$AE$353)</f>
        <v>0</v>
      </c>
    </row>
    <row r="3" spans="1:36" ht="11.25" customHeight="1" x14ac:dyDescent="0.3">
      <c r="A3" s="4" t="s">
        <v>21</v>
      </c>
      <c r="B3" s="4" t="s">
        <v>35</v>
      </c>
      <c r="C3" s="4" t="s">
        <v>50</v>
      </c>
      <c r="D3" s="4" t="s">
        <v>48</v>
      </c>
      <c r="E3" s="4" t="s">
        <v>49</v>
      </c>
      <c r="F3" s="4" t="s">
        <v>25</v>
      </c>
      <c r="G3" s="4" t="s">
        <v>25</v>
      </c>
      <c r="H3" s="4" t="s">
        <v>38</v>
      </c>
      <c r="I3" s="5">
        <v>44470</v>
      </c>
      <c r="J3" s="6">
        <v>101</v>
      </c>
      <c r="K3" s="54">
        <v>101</v>
      </c>
      <c r="L3" s="6">
        <v>39.823999999999998</v>
      </c>
      <c r="M3" s="53">
        <v>39.823999999999998</v>
      </c>
      <c r="N3" s="6">
        <v>39.823999999999998</v>
      </c>
      <c r="O3" s="53">
        <v>39.823999999999998</v>
      </c>
      <c r="P3" s="6">
        <v>0</v>
      </c>
      <c r="Q3" s="4" t="s">
        <v>26</v>
      </c>
      <c r="R3" s="4">
        <v>0</v>
      </c>
      <c r="S3" s="4">
        <v>21</v>
      </c>
      <c r="T3" s="4">
        <v>1</v>
      </c>
      <c r="U3" s="4">
        <v>40</v>
      </c>
      <c r="V3" s="53">
        <f>IF(ISERROR(VLOOKUP($S$3,'TAR FIN'!$A$1:$O$85,15,0)),0,VLOOKUP($S$3,'TAR FIN'!$A$1:$O$85,15,0))*(1-0.06)</f>
        <v>38.680999999999997</v>
      </c>
      <c r="W3" s="53">
        <f>IF(ISERROR(VLOOKUP($T$3,'TAR FIN'!$A$1:$O$85,15,0)),0,VLOOKUP($T$3,'TAR FIN'!$A$1:$O$85,15,0))*(1-0.06)</f>
        <v>62.077600000000004</v>
      </c>
      <c r="X3" s="53">
        <f>IF(ISERROR(VLOOKUP($U$3,'TAR FIN'!$A$1:$O$85,15,0)),0,VLOOKUP($U$3,'TAR FIN'!$A$1:$O$85,15,0))*(1-0.06)</f>
        <v>112.7718</v>
      </c>
      <c r="Y3" s="53">
        <f ca="1">('TUSD BE'!$AM$6+'TUSD BF'!$AM$6+'TUSD CVA'!$AM$6)*1*(1-0.03)</f>
        <v>40.203324927971032</v>
      </c>
      <c r="Z3" s="53">
        <f ca="1">('TUSD BE'!$AM$7+'TUSD BF'!$AM$7+'TUSD CVA'!$AM$7)*1*(1-0.03)</f>
        <v>98.026390524893429</v>
      </c>
      <c r="AA3" s="53">
        <f>('TE BE'!$AB$6+'TE BF'!$AB$6+'TE CVA'!$AB$6)*1*(1-0.03)</f>
        <v>118.90878875575021</v>
      </c>
      <c r="AB3" s="53">
        <f>(SUBSIDIO!$J$3*SUBSIDIO!$V$3)*(0.06)/(1-0.06)</f>
        <v>249.369</v>
      </c>
      <c r="AC3" s="53">
        <f>((SUBSIDIO!$L$3*SUBSIDIO!$W$3)+(SUBSIDIO!$N$3*SUBSIDIO!$X$3))*(0.06)/(1-0.06)</f>
        <v>444.45973440000006</v>
      </c>
      <c r="AD3" s="53">
        <f ca="1">(SUBSIDIO!$J$3*SUBSIDIO!$Y$3)*(0.03)/(1-0.03)</f>
        <v>125.58358199149714</v>
      </c>
      <c r="AE3" s="53">
        <f ca="1">((SUBSIDIO!$L$3*SUBSIDIO!$Z$3)+(SUBSIDIO!$N$3*SUBSIDIO!$AA$3))*(0.03)/(1-0.03)</f>
        <v>267.19257462904176</v>
      </c>
      <c r="AF3" s="4" t="s">
        <v>624</v>
      </c>
      <c r="AH3" s="36" t="s">
        <v>630</v>
      </c>
      <c r="AI3" s="37">
        <f t="shared" si="0"/>
        <v>0</v>
      </c>
      <c r="AJ3" s="37">
        <f t="shared" si="1"/>
        <v>0</v>
      </c>
    </row>
    <row r="4" spans="1:36" ht="11.25" customHeight="1" x14ac:dyDescent="0.3">
      <c r="A4" s="4" t="s">
        <v>21</v>
      </c>
      <c r="B4" s="4" t="s">
        <v>35</v>
      </c>
      <c r="C4" s="4" t="s">
        <v>50</v>
      </c>
      <c r="D4" s="4" t="s">
        <v>48</v>
      </c>
      <c r="E4" s="4" t="s">
        <v>49</v>
      </c>
      <c r="F4" s="4" t="s">
        <v>25</v>
      </c>
      <c r="G4" s="4" t="s">
        <v>25</v>
      </c>
      <c r="H4" s="4" t="s">
        <v>37</v>
      </c>
      <c r="I4" s="5">
        <v>44440</v>
      </c>
      <c r="J4" s="6">
        <v>100</v>
      </c>
      <c r="K4" s="54">
        <v>100</v>
      </c>
      <c r="L4" s="6">
        <v>4.6870000000000003</v>
      </c>
      <c r="M4" s="53">
        <v>4.6870000000000003</v>
      </c>
      <c r="N4" s="6">
        <v>4.6870000000000003</v>
      </c>
      <c r="O4" s="53">
        <v>4.6870000000000003</v>
      </c>
      <c r="P4" s="6">
        <v>0</v>
      </c>
      <c r="Q4" s="4" t="s">
        <v>26</v>
      </c>
      <c r="R4" s="4">
        <v>0</v>
      </c>
      <c r="S4" s="4">
        <v>31</v>
      </c>
      <c r="T4" s="4">
        <v>1</v>
      </c>
      <c r="U4" s="4">
        <v>34</v>
      </c>
      <c r="V4" s="53">
        <f>IF(ISERROR(VLOOKUP($S$4,'TAR FIN'!$A$1:$O$85,15,0)),0,VLOOKUP($S$4,'TAR FIN'!$A$1:$O$85,15,0))*(1-0.06)</f>
        <v>109.1716</v>
      </c>
      <c r="W4" s="53">
        <f>IF(ISERROR(VLOOKUP($T$4,'TAR FIN'!$A$1:$O$85,15,0)),0,VLOOKUP($T$4,'TAR FIN'!$A$1:$O$85,15,0))*(1-0.06)</f>
        <v>62.077600000000004</v>
      </c>
      <c r="X4" s="53">
        <f>IF(ISERROR(VLOOKUP($U$4,'TAR FIN'!$A$1:$O$85,15,0)),0,VLOOKUP($U$4,'TAR FIN'!$A$1:$O$85,15,0))*(1-0.06)</f>
        <v>112.7718</v>
      </c>
      <c r="Y4" s="53">
        <f ca="1">('TUSD BE'!$AM$5+'TUSD BF'!$AM$5+'TUSD CVA'!$AM$5)*1*(1-0.03)</f>
        <v>113.92202632328157</v>
      </c>
      <c r="Z4" s="53">
        <f ca="1">('TUSD BE'!$AM$7+'TUSD BF'!$AM$7+'TUSD CVA'!$AM$7)*1*(1-0.03)</f>
        <v>98.026390524893429</v>
      </c>
      <c r="AA4" s="53">
        <f>('TE BE'!$AB$5+'TE BF'!$AB$5+'TE CVA'!$AB$5)*1*(1-0.03)</f>
        <v>118.90878875575021</v>
      </c>
      <c r="AB4" s="53">
        <f>(SUBSIDIO!$J$4*SUBSIDIO!$V$4)*(0.06)/(1-0.06)</f>
        <v>696.84</v>
      </c>
      <c r="AC4" s="53">
        <f>((SUBSIDIO!$L$4*SUBSIDIO!$W$4)+(SUBSIDIO!$N$4*SUBSIDIO!$X$4))*(0.06)/(1-0.06)</f>
        <v>52.309732200000006</v>
      </c>
      <c r="AD4" s="53">
        <f ca="1">(SUBSIDIO!$J$4*SUBSIDIO!$Y$4)*(0.03)/(1-0.03)</f>
        <v>352.33616388643782</v>
      </c>
      <c r="AE4" s="53">
        <f ca="1">((SUBSIDIO!$L$4*SUBSIDIO!$Z$4)+(SUBSIDIO!$N$4*SUBSIDIO!$AA$4))*(0.03)/(1-0.03)</f>
        <v>31.446655215104435</v>
      </c>
      <c r="AF4" s="4" t="s">
        <v>624</v>
      </c>
      <c r="AH4" s="36" t="s">
        <v>631</v>
      </c>
      <c r="AI4" s="37">
        <f t="shared" si="0"/>
        <v>0</v>
      </c>
      <c r="AJ4" s="37">
        <f t="shared" si="1"/>
        <v>0</v>
      </c>
    </row>
    <row r="5" spans="1:36" ht="11.25" customHeight="1" x14ac:dyDescent="0.3">
      <c r="A5" s="4" t="s">
        <v>21</v>
      </c>
      <c r="B5" s="4" t="s">
        <v>35</v>
      </c>
      <c r="C5" s="4" t="s">
        <v>50</v>
      </c>
      <c r="D5" s="4" t="s">
        <v>48</v>
      </c>
      <c r="E5" s="4" t="s">
        <v>49</v>
      </c>
      <c r="F5" s="4" t="s">
        <v>25</v>
      </c>
      <c r="G5" s="4" t="s">
        <v>25</v>
      </c>
      <c r="H5" s="4" t="s">
        <v>37</v>
      </c>
      <c r="I5" s="5">
        <v>44470</v>
      </c>
      <c r="J5" s="6">
        <v>101</v>
      </c>
      <c r="K5" s="54">
        <v>101</v>
      </c>
      <c r="L5" s="6">
        <v>4.5910000000000002</v>
      </c>
      <c r="M5" s="53">
        <v>4.5910000000000002</v>
      </c>
      <c r="N5" s="6">
        <v>4.5910000000000002</v>
      </c>
      <c r="O5" s="53">
        <v>4.5910000000000002</v>
      </c>
      <c r="P5" s="6">
        <v>0</v>
      </c>
      <c r="Q5" s="4" t="s">
        <v>26</v>
      </c>
      <c r="R5" s="4">
        <v>0</v>
      </c>
      <c r="S5" s="4">
        <v>31</v>
      </c>
      <c r="T5" s="4">
        <v>1</v>
      </c>
      <c r="U5" s="4">
        <v>34</v>
      </c>
      <c r="V5" s="53">
        <f>IF(ISERROR(VLOOKUP($S$5,'TAR FIN'!$A$1:$O$85,15,0)),0,VLOOKUP($S$5,'TAR FIN'!$A$1:$O$85,15,0))*(1-0.06)</f>
        <v>109.1716</v>
      </c>
      <c r="W5" s="53">
        <f>IF(ISERROR(VLOOKUP($T$5,'TAR FIN'!$A$1:$O$85,15,0)),0,VLOOKUP($T$5,'TAR FIN'!$A$1:$O$85,15,0))*(1-0.06)</f>
        <v>62.077600000000004</v>
      </c>
      <c r="X5" s="53">
        <f>IF(ISERROR(VLOOKUP($U$5,'TAR FIN'!$A$1:$O$85,15,0)),0,VLOOKUP($U$5,'TAR FIN'!$A$1:$O$85,15,0))*(1-0.06)</f>
        <v>112.7718</v>
      </c>
      <c r="Y5" s="53">
        <f ca="1">('TUSD BE'!$AM$5+'TUSD BF'!$AM$5+'TUSD CVA'!$AM$5)*1*(1-0.03)</f>
        <v>113.92202632328157</v>
      </c>
      <c r="Z5" s="53">
        <f ca="1">('TUSD BE'!$AM$7+'TUSD BF'!$AM$7+'TUSD CVA'!$AM$7)*1*(1-0.03)</f>
        <v>98.026390524893429</v>
      </c>
      <c r="AA5" s="53">
        <f>('TE BE'!$AB$5+'TE BF'!$AB$5+'TE CVA'!$AB$5)*1*(1-0.03)</f>
        <v>118.90878875575021</v>
      </c>
      <c r="AB5" s="53">
        <f>(SUBSIDIO!$J$5*SUBSIDIO!$V$5)*(0.06)/(1-0.06)</f>
        <v>703.80840000000001</v>
      </c>
      <c r="AC5" s="53">
        <f>((SUBSIDIO!$L$5*SUBSIDIO!$W$5)+(SUBSIDIO!$N$5*SUBSIDIO!$X$5))*(0.06)/(1-0.06)</f>
        <v>51.238314600000002</v>
      </c>
      <c r="AD5" s="53">
        <f ca="1">(SUBSIDIO!$J$5*SUBSIDIO!$Y$5)*(0.03)/(1-0.03)</f>
        <v>355.85952552530222</v>
      </c>
      <c r="AE5" s="53">
        <f ca="1">((SUBSIDIO!$L$5*SUBSIDIO!$Z$5)+(SUBSIDIO!$N$5*SUBSIDIO!$AA$5))*(0.03)/(1-0.03)</f>
        <v>30.802559012704176</v>
      </c>
      <c r="AF5" s="4" t="s">
        <v>624</v>
      </c>
      <c r="AH5" s="36" t="s">
        <v>624</v>
      </c>
      <c r="AI5" s="37">
        <f t="shared" si="0"/>
        <v>19949.726631599995</v>
      </c>
      <c r="AJ5" s="37">
        <f t="shared" ca="1" si="1"/>
        <v>10703.517053421238</v>
      </c>
    </row>
    <row r="6" spans="1:36" ht="11.25" customHeight="1" x14ac:dyDescent="0.3">
      <c r="A6" s="4" t="s">
        <v>28</v>
      </c>
      <c r="B6" s="4" t="s">
        <v>35</v>
      </c>
      <c r="C6" s="4" t="s">
        <v>36</v>
      </c>
      <c r="D6" s="4" t="s">
        <v>43</v>
      </c>
      <c r="E6" s="4" t="s">
        <v>25</v>
      </c>
      <c r="F6" s="4" t="s">
        <v>25</v>
      </c>
      <c r="G6" s="4" t="s">
        <v>25</v>
      </c>
      <c r="H6" s="4" t="s">
        <v>38</v>
      </c>
      <c r="I6" s="5">
        <v>44593</v>
      </c>
      <c r="J6" s="6">
        <v>0</v>
      </c>
      <c r="K6" s="53">
        <v>0</v>
      </c>
      <c r="L6" s="6">
        <v>4.3380000000000001</v>
      </c>
      <c r="M6" s="53">
        <v>4.3380000000000001</v>
      </c>
      <c r="N6" s="6">
        <v>4.3380000000000001</v>
      </c>
      <c r="O6" s="53">
        <v>4.3380000000000001</v>
      </c>
      <c r="P6" s="6">
        <v>0</v>
      </c>
      <c r="Q6" s="4" t="s">
        <v>26</v>
      </c>
      <c r="R6" s="4">
        <v>0</v>
      </c>
      <c r="S6" s="4">
        <v>0</v>
      </c>
      <c r="T6" s="4">
        <v>10</v>
      </c>
      <c r="U6" s="4">
        <v>40</v>
      </c>
      <c r="V6" s="53">
        <f>IF(ISERROR(VLOOKUP($S$6,'TAR FIN'!$A$1:$O$85,15,0)),0,VLOOKUP($S$6,'TAR FIN'!$A$1:$O$85,15,0))</f>
        <v>0</v>
      </c>
      <c r="W6" s="53">
        <f>IF(ISERROR(VLOOKUP($T$6,'TAR FIN'!$A$1:$O$85,15,0)),0,VLOOKUP($T$6,'TAR FIN'!$A$1:$O$85,15,0))*(1-0.04)</f>
        <v>63.398400000000002</v>
      </c>
      <c r="X6" s="53">
        <f>IF(ISERROR(VLOOKUP($U$6,'TAR FIN'!$A$1:$O$85,15,0)),0,VLOOKUP($U$6,'TAR FIN'!$A$1:$O$85,15,0))*(1-0.04)</f>
        <v>115.1712</v>
      </c>
      <c r="Y6" s="53"/>
      <c r="Z6" s="53">
        <f ca="1">('TUSD BE'!$AM$12+'TUSD BF'!$AM$12+'TUSD CVA'!$AM$12)*1*(1-0.02)</f>
        <v>99.036971870510882</v>
      </c>
      <c r="AA6" s="53">
        <f>('TE BE'!$AB$6+'TE BF'!$AB$6+'TE CVA'!$AB$6)*1*(1-0.02)</f>
        <v>120.13465255735588</v>
      </c>
      <c r="AB6" s="53">
        <f>(SUBSIDIO!$J$6*SUBSIDIO!$V$6)*(0.04)/(1-0.04)</f>
        <v>0</v>
      </c>
      <c r="AC6" s="53">
        <f>((SUBSIDIO!$L$6*SUBSIDIO!$W$6)+(SUBSIDIO!$N$6*SUBSIDIO!$X$6))*(0.04)/(1-0.04)</f>
        <v>32.276455200000001</v>
      </c>
      <c r="AD6" s="53">
        <f>(SUBSIDIO!$J$6*SUBSIDIO!$Y$6)*(0.02)/(1-0.02)</f>
        <v>0</v>
      </c>
      <c r="AE6" s="53">
        <f ca="1">((SUBSIDIO!$L$6*SUBSIDIO!$Z$6)+(SUBSIDIO!$N$6*SUBSIDIO!$AA$6))*(0.02)/(1-0.02)</f>
        <v>19.403398097307882</v>
      </c>
      <c r="AF6" s="4" t="s">
        <v>625</v>
      </c>
      <c r="AH6" s="36" t="s">
        <v>625</v>
      </c>
      <c r="AI6" s="37">
        <f t="shared" si="0"/>
        <v>295114.45610319974</v>
      </c>
      <c r="AJ6" s="37">
        <f t="shared" ca="1" si="1"/>
        <v>158343.66796442235</v>
      </c>
    </row>
    <row r="7" spans="1:36" ht="11.25" customHeight="1" x14ac:dyDescent="0.3">
      <c r="A7" s="4" t="s">
        <v>28</v>
      </c>
      <c r="B7" s="4" t="s">
        <v>35</v>
      </c>
      <c r="C7" s="4" t="s">
        <v>36</v>
      </c>
      <c r="D7" s="4" t="s">
        <v>43</v>
      </c>
      <c r="E7" s="4" t="s">
        <v>25</v>
      </c>
      <c r="F7" s="4" t="s">
        <v>25</v>
      </c>
      <c r="G7" s="4" t="s">
        <v>25</v>
      </c>
      <c r="H7" s="4" t="s">
        <v>38</v>
      </c>
      <c r="I7" s="5">
        <v>44621</v>
      </c>
      <c r="J7" s="6">
        <v>0</v>
      </c>
      <c r="K7" s="53">
        <v>0</v>
      </c>
      <c r="L7" s="6">
        <v>1.331</v>
      </c>
      <c r="M7" s="53">
        <v>1.331</v>
      </c>
      <c r="N7" s="6">
        <v>1.331</v>
      </c>
      <c r="O7" s="53">
        <v>1.331</v>
      </c>
      <c r="P7" s="6">
        <v>0</v>
      </c>
      <c r="Q7" s="4" t="s">
        <v>26</v>
      </c>
      <c r="R7" s="4">
        <v>0</v>
      </c>
      <c r="S7" s="4">
        <v>0</v>
      </c>
      <c r="T7" s="4">
        <v>10</v>
      </c>
      <c r="U7" s="4">
        <v>40</v>
      </c>
      <c r="V7" s="53">
        <f>IF(ISERROR(VLOOKUP($S$7,'TAR FIN'!$A$1:$O$85,15,0)),0,VLOOKUP($S$7,'TAR FIN'!$A$1:$O$85,15,0))</f>
        <v>0</v>
      </c>
      <c r="W7" s="53">
        <f>IF(ISERROR(VLOOKUP($T$7,'TAR FIN'!$A$1:$O$85,15,0)),0,VLOOKUP($T$7,'TAR FIN'!$A$1:$O$85,15,0))*(1-0.04)</f>
        <v>63.398400000000002</v>
      </c>
      <c r="X7" s="53">
        <f>IF(ISERROR(VLOOKUP($U$7,'TAR FIN'!$A$1:$O$85,15,0)),0,VLOOKUP($U$7,'TAR FIN'!$A$1:$O$85,15,0))*(1-0.04)</f>
        <v>115.1712</v>
      </c>
      <c r="Y7" s="53"/>
      <c r="Z7" s="53">
        <f ca="1">('TUSD BE'!$AM$12+'TUSD BF'!$AM$12+'TUSD CVA'!$AM$12)*1*(1-0.02)</f>
        <v>99.036971870510882</v>
      </c>
      <c r="AA7" s="53">
        <f>('TE BE'!$AB$6+'TE BF'!$AB$6+'TE CVA'!$AB$6)*1*(1-0.02)</f>
        <v>120.13465255735588</v>
      </c>
      <c r="AB7" s="53">
        <f>(SUBSIDIO!$J$7*SUBSIDIO!$V$7)*(0.04)/(1-0.04)</f>
        <v>0</v>
      </c>
      <c r="AC7" s="53">
        <f>((SUBSIDIO!$L$7*SUBSIDIO!$W$7)+(SUBSIDIO!$N$7*SUBSIDIO!$X$7))*(0.04)/(1-0.04)</f>
        <v>9.9031724000000008</v>
      </c>
      <c r="AD7" s="53">
        <f>(SUBSIDIO!$J$7*SUBSIDIO!$Y$7)*(0.02)/(1-0.02)</f>
        <v>0</v>
      </c>
      <c r="AE7" s="53">
        <f ca="1">((SUBSIDIO!$L$7*SUBSIDIO!$Z$7)+(SUBSIDIO!$N$7*SUBSIDIO!$AA$7))*(0.02)/(1-0.02)</f>
        <v>5.9534169819079725</v>
      </c>
      <c r="AF7" s="4" t="s">
        <v>625</v>
      </c>
      <c r="AH7" s="36" t="s">
        <v>632</v>
      </c>
      <c r="AI7" s="37">
        <f t="shared" si="0"/>
        <v>0</v>
      </c>
      <c r="AJ7" s="37">
        <f t="shared" si="1"/>
        <v>0</v>
      </c>
    </row>
    <row r="8" spans="1:36" ht="11.25" customHeight="1" x14ac:dyDescent="0.3">
      <c r="A8" s="4" t="s">
        <v>28</v>
      </c>
      <c r="B8" s="4" t="s">
        <v>35</v>
      </c>
      <c r="C8" s="4" t="s">
        <v>36</v>
      </c>
      <c r="D8" s="4" t="s">
        <v>43</v>
      </c>
      <c r="E8" s="4" t="s">
        <v>25</v>
      </c>
      <c r="F8" s="4" t="s">
        <v>25</v>
      </c>
      <c r="G8" s="4" t="s">
        <v>25</v>
      </c>
      <c r="H8" s="4" t="s">
        <v>25</v>
      </c>
      <c r="I8" s="5">
        <v>44593</v>
      </c>
      <c r="J8" s="6">
        <v>41</v>
      </c>
      <c r="K8" s="53">
        <v>41</v>
      </c>
      <c r="L8" s="6">
        <v>0</v>
      </c>
      <c r="M8" s="53">
        <v>0</v>
      </c>
      <c r="N8" s="6">
        <v>0</v>
      </c>
      <c r="O8" s="53">
        <v>0</v>
      </c>
      <c r="P8" s="6">
        <v>1</v>
      </c>
      <c r="Q8" s="4" t="s">
        <v>26</v>
      </c>
      <c r="R8" s="4">
        <v>0</v>
      </c>
      <c r="S8" s="4">
        <v>27</v>
      </c>
      <c r="T8" s="4">
        <v>0</v>
      </c>
      <c r="U8" s="4">
        <v>0</v>
      </c>
      <c r="V8" s="53">
        <f>IF(ISERROR(VLOOKUP($S$8,'TAR FIN'!$A$1:$O$85,15,0)),0,VLOOKUP($S$8,'TAR FIN'!$A$1:$O$85,15,0))*(1-0.04)</f>
        <v>39.503999999999998</v>
      </c>
      <c r="W8" s="53">
        <f>IF(ISERROR(VLOOKUP($T$8,'TAR FIN'!$A$1:$O$85,15,0)),0,VLOOKUP($T$8,'TAR FIN'!$A$1:$O$85,15,0))</f>
        <v>0</v>
      </c>
      <c r="X8" s="53">
        <f>IF(ISERROR(VLOOKUP($U$8,'TAR FIN'!$A$1:$O$85,15,0)),0,VLOOKUP($U$8,'TAR FIN'!$A$1:$O$85,15,0))</f>
        <v>0</v>
      </c>
      <c r="Y8" s="53">
        <f ca="1">('TUSD BE'!$AM$10+'TUSD BF'!$AM$10+'TUSD CVA'!$AM$10)*1*(1-0.02)</f>
        <v>40.617792195269701</v>
      </c>
      <c r="Z8" s="53"/>
      <c r="AA8" s="53"/>
      <c r="AB8" s="53">
        <f>(SUBSIDIO!$J$8*SUBSIDIO!$V$8)*(0.04)/(1-0.04)</f>
        <v>67.48599999999999</v>
      </c>
      <c r="AC8" s="53">
        <f>((SUBSIDIO!$L$8*SUBSIDIO!$W$8)+(SUBSIDIO!$N$8*SUBSIDIO!$X$8))*(0.04)/(1-0.04)</f>
        <v>0</v>
      </c>
      <c r="AD8" s="53">
        <f ca="1">(SUBSIDIO!$J$8*SUBSIDIO!$Y$8)*(0.02)/(1-0.02)</f>
        <v>33.98631591849098</v>
      </c>
      <c r="AE8" s="53">
        <f>((SUBSIDIO!$L$8*SUBSIDIO!$Z$8)+(SUBSIDIO!$N$8*SUBSIDIO!$AA$8))*(0.02)/(1-0.02)</f>
        <v>0</v>
      </c>
      <c r="AF8" s="4" t="s">
        <v>625</v>
      </c>
      <c r="AH8" s="36" t="s">
        <v>626</v>
      </c>
      <c r="AI8" s="37">
        <f t="shared" si="0"/>
        <v>62810.592519999998</v>
      </c>
      <c r="AJ8" s="37">
        <f t="shared" ca="1" si="1"/>
        <v>64037.88124445219</v>
      </c>
    </row>
    <row r="9" spans="1:36" ht="11.25" customHeight="1" x14ac:dyDescent="0.3">
      <c r="A9" s="4" t="s">
        <v>28</v>
      </c>
      <c r="B9" s="4" t="s">
        <v>35</v>
      </c>
      <c r="C9" s="4" t="s">
        <v>36</v>
      </c>
      <c r="D9" s="4" t="s">
        <v>43</v>
      </c>
      <c r="E9" s="4" t="s">
        <v>25</v>
      </c>
      <c r="F9" s="4" t="s">
        <v>25</v>
      </c>
      <c r="G9" s="4" t="s">
        <v>25</v>
      </c>
      <c r="H9" s="4" t="s">
        <v>25</v>
      </c>
      <c r="I9" s="5">
        <v>44621</v>
      </c>
      <c r="J9" s="6">
        <v>32</v>
      </c>
      <c r="K9" s="53">
        <v>32</v>
      </c>
      <c r="L9" s="6">
        <v>0</v>
      </c>
      <c r="M9" s="53">
        <v>0</v>
      </c>
      <c r="N9" s="6">
        <v>0</v>
      </c>
      <c r="O9" s="53">
        <v>0</v>
      </c>
      <c r="P9" s="6">
        <v>1</v>
      </c>
      <c r="Q9" s="4" t="s">
        <v>26</v>
      </c>
      <c r="R9" s="4">
        <v>0</v>
      </c>
      <c r="S9" s="4">
        <v>27</v>
      </c>
      <c r="T9" s="4">
        <v>0</v>
      </c>
      <c r="U9" s="4">
        <v>0</v>
      </c>
      <c r="V9" s="53">
        <f>IF(ISERROR(VLOOKUP($S$9,'TAR FIN'!$A$1:$O$85,15,0)),0,VLOOKUP($S$9,'TAR FIN'!$A$1:$O$85,15,0))*(1-0.04)</f>
        <v>39.503999999999998</v>
      </c>
      <c r="W9" s="53">
        <f>IF(ISERROR(VLOOKUP($T$9,'TAR FIN'!$A$1:$O$85,15,0)),0,VLOOKUP($T$9,'TAR FIN'!$A$1:$O$85,15,0))</f>
        <v>0</v>
      </c>
      <c r="X9" s="53">
        <f>IF(ISERROR(VLOOKUP($U$9,'TAR FIN'!$A$1:$O$85,15,0)),0,VLOOKUP($U$9,'TAR FIN'!$A$1:$O$85,15,0))</f>
        <v>0</v>
      </c>
      <c r="Y9" s="53">
        <f ca="1">('TUSD BE'!$AM$10+'TUSD BF'!$AM$10+'TUSD CVA'!$AM$10)*1*(1-0.02)</f>
        <v>40.617792195269701</v>
      </c>
      <c r="Z9" s="53"/>
      <c r="AA9" s="53"/>
      <c r="AB9" s="53">
        <f>(SUBSIDIO!$J$9*SUBSIDIO!$V$9)*(0.04)/(1-0.04)</f>
        <v>52.672000000000004</v>
      </c>
      <c r="AC9" s="53">
        <f>((SUBSIDIO!$L$9*SUBSIDIO!$W$9)+(SUBSIDIO!$N$9*SUBSIDIO!$X$9))*(0.04)/(1-0.04)</f>
        <v>0</v>
      </c>
      <c r="AD9" s="53">
        <f ca="1">(SUBSIDIO!$J$9*SUBSIDIO!$Y$9)*(0.02)/(1-0.02)</f>
        <v>26.525905107114909</v>
      </c>
      <c r="AE9" s="53">
        <f>((SUBSIDIO!$L$9*SUBSIDIO!$Z$9)+(SUBSIDIO!$N$9*SUBSIDIO!$AA$9))*(0.02)/(1-0.02)</f>
        <v>0</v>
      </c>
      <c r="AF9" s="4" t="s">
        <v>625</v>
      </c>
      <c r="AH9" s="36" t="s">
        <v>633</v>
      </c>
      <c r="AI9" s="37">
        <f t="shared" si="0"/>
        <v>0</v>
      </c>
      <c r="AJ9" s="37">
        <f t="shared" si="1"/>
        <v>0</v>
      </c>
    </row>
    <row r="10" spans="1:36" ht="11.25" customHeight="1" x14ac:dyDescent="0.3">
      <c r="A10" s="4" t="s">
        <v>28</v>
      </c>
      <c r="B10" s="4" t="s">
        <v>35</v>
      </c>
      <c r="C10" s="4" t="s">
        <v>36</v>
      </c>
      <c r="D10" s="4" t="s">
        <v>43</v>
      </c>
      <c r="E10" s="4" t="s">
        <v>25</v>
      </c>
      <c r="F10" s="4" t="s">
        <v>25</v>
      </c>
      <c r="G10" s="4" t="s">
        <v>25</v>
      </c>
      <c r="H10" s="4" t="s">
        <v>37</v>
      </c>
      <c r="I10" s="5">
        <v>44593</v>
      </c>
      <c r="J10" s="6">
        <v>0</v>
      </c>
      <c r="K10" s="53">
        <v>0</v>
      </c>
      <c r="L10" s="6">
        <v>0.223</v>
      </c>
      <c r="M10" s="53">
        <v>0.223</v>
      </c>
      <c r="N10" s="6">
        <v>0.223</v>
      </c>
      <c r="O10" s="53">
        <v>0.223</v>
      </c>
      <c r="P10" s="6">
        <v>0</v>
      </c>
      <c r="Q10" s="4" t="s">
        <v>26</v>
      </c>
      <c r="R10" s="4">
        <v>0</v>
      </c>
      <c r="S10" s="4">
        <v>0</v>
      </c>
      <c r="T10" s="4">
        <v>32</v>
      </c>
      <c r="U10" s="4">
        <v>34</v>
      </c>
      <c r="V10" s="53">
        <f>IF(ISERROR(VLOOKUP($S$10,'TAR FIN'!$A$1:$O$85,15,0)),0,VLOOKUP($S$10,'TAR FIN'!$A$1:$O$85,15,0))</f>
        <v>0</v>
      </c>
      <c r="W10" s="53">
        <f>IF(ISERROR(VLOOKUP($T$10,'TAR FIN'!$A$1:$O$85,15,0)),0,VLOOKUP($T$10,'TAR FIN'!$A$1:$O$85,15,0))*(1-0.04)</f>
        <v>2745.4463999999998</v>
      </c>
      <c r="X10" s="53">
        <f>IF(ISERROR(VLOOKUP($U$10,'TAR FIN'!$A$1:$O$85,15,0)),0,VLOOKUP($U$10,'TAR FIN'!$A$1:$O$85,15,0))*(1-0.04)</f>
        <v>115.1712</v>
      </c>
      <c r="Y10" s="53"/>
      <c r="Z10" s="53">
        <f ca="1">('TUSD BE'!$AM$11+'TUSD BF'!$AM$11+'TUSD CVA'!$AM$11)*1*(1-0.02)</f>
        <v>2867.7930813026246</v>
      </c>
      <c r="AA10" s="53">
        <f>('TE BE'!$AB$5+'TE BF'!$AB$5+'TE CVA'!$AB$5)*1*(1-0.02)</f>
        <v>120.13465255735588</v>
      </c>
      <c r="AB10" s="53">
        <f>(SUBSIDIO!$J$10*SUBSIDIO!$V$10)*(0.04)/(1-0.04)</f>
        <v>0</v>
      </c>
      <c r="AC10" s="53">
        <f>((SUBSIDIO!$L$10*SUBSIDIO!$W$10)+(SUBSIDIO!$N$10*SUBSIDIO!$X$10))*(0.04)/(1-0.04)</f>
        <v>26.579905199999999</v>
      </c>
      <c r="AD10" s="53">
        <f>(SUBSIDIO!$J$10*SUBSIDIO!$Y$10)*(0.02)/(1-0.02)</f>
        <v>0</v>
      </c>
      <c r="AE10" s="53">
        <f ca="1">((SUBSIDIO!$L$10*SUBSIDIO!$Z$10)+(SUBSIDIO!$N$10*SUBSIDIO!$AA$10))*(0.02)/(1-0.02)</f>
        <v>13.598120094913789</v>
      </c>
      <c r="AF10" s="4" t="s">
        <v>625</v>
      </c>
    </row>
    <row r="11" spans="1:36" ht="11.25" customHeight="1" x14ac:dyDescent="0.3">
      <c r="A11" s="4" t="s">
        <v>28</v>
      </c>
      <c r="B11" s="4" t="s">
        <v>35</v>
      </c>
      <c r="C11" s="4" t="s">
        <v>36</v>
      </c>
      <c r="D11" s="4" t="s">
        <v>43</v>
      </c>
      <c r="E11" s="4" t="s">
        <v>25</v>
      </c>
      <c r="F11" s="4" t="s">
        <v>25</v>
      </c>
      <c r="G11" s="4" t="s">
        <v>25</v>
      </c>
      <c r="H11" s="4" t="s">
        <v>37</v>
      </c>
      <c r="I11" s="5">
        <v>44621</v>
      </c>
      <c r="J11" s="6">
        <v>0</v>
      </c>
      <c r="K11" s="53">
        <v>0</v>
      </c>
      <c r="L11" s="6">
        <v>0.246</v>
      </c>
      <c r="M11" s="53">
        <v>0.246</v>
      </c>
      <c r="N11" s="6">
        <v>0.246</v>
      </c>
      <c r="O11" s="53">
        <v>0.246</v>
      </c>
      <c r="P11" s="6">
        <v>0</v>
      </c>
      <c r="Q11" s="4" t="s">
        <v>26</v>
      </c>
      <c r="R11" s="4">
        <v>0</v>
      </c>
      <c r="S11" s="4">
        <v>0</v>
      </c>
      <c r="T11" s="4">
        <v>32</v>
      </c>
      <c r="U11" s="4">
        <v>34</v>
      </c>
      <c r="V11" s="53">
        <f>IF(ISERROR(VLOOKUP($S$11,'TAR FIN'!$A$1:$O$85,15,0)),0,VLOOKUP($S$11,'TAR FIN'!$A$1:$O$85,15,0))</f>
        <v>0</v>
      </c>
      <c r="W11" s="53">
        <f>IF(ISERROR(VLOOKUP($T$11,'TAR FIN'!$A$1:$O$85,15,0)),0,VLOOKUP($T$11,'TAR FIN'!$A$1:$O$85,15,0))*(1-0.04)</f>
        <v>2745.4463999999998</v>
      </c>
      <c r="X11" s="53">
        <f>IF(ISERROR(VLOOKUP($U$11,'TAR FIN'!$A$1:$O$85,15,0)),0,VLOOKUP($U$11,'TAR FIN'!$A$1:$O$85,15,0))*(1-0.04)</f>
        <v>115.1712</v>
      </c>
      <c r="Y11" s="53"/>
      <c r="Z11" s="53">
        <f ca="1">('TUSD BE'!$AM$11+'TUSD BF'!$AM$11+'TUSD CVA'!$AM$11)*1*(1-0.02)</f>
        <v>2867.7930813026246</v>
      </c>
      <c r="AA11" s="53">
        <f>('TE BE'!$AB$5+'TE BF'!$AB$5+'TE CVA'!$AB$5)*1*(1-0.02)</f>
        <v>120.13465255735588</v>
      </c>
      <c r="AB11" s="53">
        <f>(SUBSIDIO!$J$11*SUBSIDIO!$V$11)*(0.04)/(1-0.04)</f>
        <v>0</v>
      </c>
      <c r="AC11" s="53">
        <f>((SUBSIDIO!$L$11*SUBSIDIO!$W$11)+(SUBSIDIO!$N$11*SUBSIDIO!$X$11))*(0.04)/(1-0.04)</f>
        <v>29.321330400000001</v>
      </c>
      <c r="AD11" s="53">
        <f>(SUBSIDIO!$J$11*SUBSIDIO!$Y$11)*(0.02)/(1-0.02)</f>
        <v>0</v>
      </c>
      <c r="AE11" s="53">
        <f ca="1">((SUBSIDIO!$L$11*SUBSIDIO!$Z$11)+(SUBSIDIO!$N$11*SUBSIDIO!$AA$11))*(0.02)/(1-0.02)</f>
        <v>15.000616786317453</v>
      </c>
      <c r="AF11" s="4" t="s">
        <v>625</v>
      </c>
    </row>
    <row r="12" spans="1:36" ht="11.25" customHeight="1" x14ac:dyDescent="0.3">
      <c r="A12" s="4" t="s">
        <v>21</v>
      </c>
      <c r="B12" s="4" t="s">
        <v>35</v>
      </c>
      <c r="C12" s="4" t="s">
        <v>36</v>
      </c>
      <c r="D12" s="4" t="s">
        <v>48</v>
      </c>
      <c r="E12" s="4" t="s">
        <v>49</v>
      </c>
      <c r="F12" s="4" t="s">
        <v>25</v>
      </c>
      <c r="G12" s="4" t="s">
        <v>25</v>
      </c>
      <c r="H12" s="4" t="s">
        <v>38</v>
      </c>
      <c r="I12" s="5">
        <v>44501</v>
      </c>
      <c r="J12" s="6">
        <v>0</v>
      </c>
      <c r="K12" s="53">
        <v>0</v>
      </c>
      <c r="L12" s="6">
        <v>40.524999999999999</v>
      </c>
      <c r="M12" s="53">
        <v>40.524999999999999</v>
      </c>
      <c r="N12" s="6">
        <v>40.524999999999999</v>
      </c>
      <c r="O12" s="53">
        <v>40.524999999999999</v>
      </c>
      <c r="P12" s="6">
        <v>0</v>
      </c>
      <c r="Q12" s="4" t="s">
        <v>26</v>
      </c>
      <c r="R12" s="4">
        <v>0</v>
      </c>
      <c r="S12" s="4">
        <v>0</v>
      </c>
      <c r="T12" s="4">
        <v>10</v>
      </c>
      <c r="U12" s="4">
        <v>40</v>
      </c>
      <c r="V12" s="53">
        <f>IF(ISERROR(VLOOKUP($S$12,'TAR FIN'!$A$1:$O$85,15,0)),0,VLOOKUP($S$12,'TAR FIN'!$A$1:$O$85,15,0))</f>
        <v>0</v>
      </c>
      <c r="W12" s="53">
        <f>IF(ISERROR(VLOOKUP($T$12,'TAR FIN'!$A$1:$O$85,15,0)),0,VLOOKUP($T$12,'TAR FIN'!$A$1:$O$85,15,0))*(1-0.06)</f>
        <v>62.077600000000004</v>
      </c>
      <c r="X12" s="53">
        <f>IF(ISERROR(VLOOKUP($U$12,'TAR FIN'!$A$1:$O$85,15,0)),0,VLOOKUP($U$12,'TAR FIN'!$A$1:$O$85,15,0))*(1-0.06)</f>
        <v>112.7718</v>
      </c>
      <c r="Y12" s="53"/>
      <c r="Z12" s="53">
        <f ca="1">('TUSD BE'!$AM$12+'TUSD BF'!$AM$12+'TUSD CVA'!$AM$12)*1*(1-0.03)</f>
        <v>98.026390524893429</v>
      </c>
      <c r="AA12" s="53">
        <f>('TE BE'!$AB$6+'TE BF'!$AB$6+'TE CVA'!$AB$6)*1*(1-0.03)</f>
        <v>118.90878875575021</v>
      </c>
      <c r="AB12" s="53">
        <f>(SUBSIDIO!$J$12*SUBSIDIO!$V$12)*(0.06)/(1-0.06)</f>
        <v>0</v>
      </c>
      <c r="AC12" s="53">
        <f>((SUBSIDIO!$L$12*SUBSIDIO!$W$12)+(SUBSIDIO!$N$12*SUBSIDIO!$X$12))*(0.06)/(1-0.06)</f>
        <v>452.28331500000002</v>
      </c>
      <c r="AD12" s="53">
        <f>(SUBSIDIO!$J$12*SUBSIDIO!$Y$12)*(0.03)/(1-0.03)</f>
        <v>0</v>
      </c>
      <c r="AE12" s="53">
        <f ca="1">((SUBSIDIO!$L$12*SUBSIDIO!$Z$12)+(SUBSIDIO!$N$12*SUBSIDIO!$AA$12))*(0.03)/(1-0.03)</f>
        <v>271.89581877365208</v>
      </c>
      <c r="AF12" s="4" t="s">
        <v>624</v>
      </c>
    </row>
    <row r="13" spans="1:36" ht="11.25" customHeight="1" x14ac:dyDescent="0.3">
      <c r="A13" s="4" t="s">
        <v>21</v>
      </c>
      <c r="B13" s="4" t="s">
        <v>35</v>
      </c>
      <c r="C13" s="4" t="s">
        <v>36</v>
      </c>
      <c r="D13" s="4" t="s">
        <v>48</v>
      </c>
      <c r="E13" s="4" t="s">
        <v>49</v>
      </c>
      <c r="F13" s="4" t="s">
        <v>25</v>
      </c>
      <c r="G13" s="4" t="s">
        <v>25</v>
      </c>
      <c r="H13" s="4" t="s">
        <v>38</v>
      </c>
      <c r="I13" s="5">
        <v>44531</v>
      </c>
      <c r="J13" s="6">
        <v>0</v>
      </c>
      <c r="K13" s="53">
        <v>0</v>
      </c>
      <c r="L13" s="6">
        <v>44.106000000000002</v>
      </c>
      <c r="M13" s="53">
        <v>44.106000000000002</v>
      </c>
      <c r="N13" s="6">
        <v>44.106000000000002</v>
      </c>
      <c r="O13" s="53">
        <v>44.106000000000002</v>
      </c>
      <c r="P13" s="6">
        <v>0</v>
      </c>
      <c r="Q13" s="4" t="s">
        <v>26</v>
      </c>
      <c r="R13" s="4">
        <v>0</v>
      </c>
      <c r="S13" s="4">
        <v>0</v>
      </c>
      <c r="T13" s="4">
        <v>10</v>
      </c>
      <c r="U13" s="4">
        <v>40</v>
      </c>
      <c r="V13" s="53">
        <f>IF(ISERROR(VLOOKUP($S$13,'TAR FIN'!$A$1:$O$85,15,0)),0,VLOOKUP($S$13,'TAR FIN'!$A$1:$O$85,15,0))</f>
        <v>0</v>
      </c>
      <c r="W13" s="53">
        <f>IF(ISERROR(VLOOKUP($T$13,'TAR FIN'!$A$1:$O$85,15,0)),0,VLOOKUP($T$13,'TAR FIN'!$A$1:$O$85,15,0))*(1-0.06)</f>
        <v>62.077600000000004</v>
      </c>
      <c r="X13" s="53">
        <f>IF(ISERROR(VLOOKUP($U$13,'TAR FIN'!$A$1:$O$85,15,0)),0,VLOOKUP($U$13,'TAR FIN'!$A$1:$O$85,15,0))*(1-0.06)</f>
        <v>112.7718</v>
      </c>
      <c r="Y13" s="53"/>
      <c r="Z13" s="53">
        <f ca="1">('TUSD BE'!$AM$12+'TUSD BF'!$AM$12+'TUSD CVA'!$AM$12)*1*(1-0.03)</f>
        <v>98.026390524893429</v>
      </c>
      <c r="AA13" s="53">
        <f>('TE BE'!$AB$6+'TE BF'!$AB$6+'TE CVA'!$AB$6)*1*(1-0.03)</f>
        <v>118.90878875575021</v>
      </c>
      <c r="AB13" s="53">
        <f>(SUBSIDIO!$J$13*SUBSIDIO!$V$13)*(0.06)/(1-0.06)</f>
        <v>0</v>
      </c>
      <c r="AC13" s="53">
        <f>((SUBSIDIO!$L$13*SUBSIDIO!$W$13)+(SUBSIDIO!$N$13*SUBSIDIO!$X$13))*(0.06)/(1-0.06)</f>
        <v>492.24942360000006</v>
      </c>
      <c r="AD13" s="53">
        <f>(SUBSIDIO!$J$13*SUBSIDIO!$Y$13)*(0.03)/(1-0.03)</f>
        <v>0</v>
      </c>
      <c r="AE13" s="53">
        <f ca="1">((SUBSIDIO!$L$13*SUBSIDIO!$Z$13)+(SUBSIDIO!$N$13*SUBSIDIO!$AA$13))*(0.03)/(1-0.03)</f>
        <v>295.92194899027015</v>
      </c>
      <c r="AF13" s="4" t="s">
        <v>624</v>
      </c>
    </row>
    <row r="14" spans="1:36" ht="11.25" customHeight="1" x14ac:dyDescent="0.3">
      <c r="A14" s="4" t="s">
        <v>21</v>
      </c>
      <c r="B14" s="4" t="s">
        <v>35</v>
      </c>
      <c r="C14" s="4" t="s">
        <v>36</v>
      </c>
      <c r="D14" s="4" t="s">
        <v>48</v>
      </c>
      <c r="E14" s="4" t="s">
        <v>49</v>
      </c>
      <c r="F14" s="4" t="s">
        <v>25</v>
      </c>
      <c r="G14" s="4" t="s">
        <v>25</v>
      </c>
      <c r="H14" s="4" t="s">
        <v>38</v>
      </c>
      <c r="I14" s="5">
        <v>44562</v>
      </c>
      <c r="J14" s="6">
        <v>0</v>
      </c>
      <c r="K14" s="53">
        <v>0</v>
      </c>
      <c r="L14" s="6">
        <v>47.715000000000003</v>
      </c>
      <c r="M14" s="53">
        <v>47.715000000000003</v>
      </c>
      <c r="N14" s="6">
        <v>47.715000000000003</v>
      </c>
      <c r="O14" s="53">
        <v>47.715000000000003</v>
      </c>
      <c r="P14" s="6">
        <v>0</v>
      </c>
      <c r="Q14" s="4" t="s">
        <v>26</v>
      </c>
      <c r="R14" s="4">
        <v>0</v>
      </c>
      <c r="S14" s="4">
        <v>0</v>
      </c>
      <c r="T14" s="4">
        <v>10</v>
      </c>
      <c r="U14" s="4">
        <v>40</v>
      </c>
      <c r="V14" s="53">
        <f>IF(ISERROR(VLOOKUP($S$14,'TAR FIN'!$A$1:$O$85,15,0)),0,VLOOKUP($S$14,'TAR FIN'!$A$1:$O$85,15,0))</f>
        <v>0</v>
      </c>
      <c r="W14" s="53">
        <f>IF(ISERROR(VLOOKUP($T$14,'TAR FIN'!$A$1:$O$85,15,0)),0,VLOOKUP($T$14,'TAR FIN'!$A$1:$O$85,15,0))*(1-0.06)</f>
        <v>62.077600000000004</v>
      </c>
      <c r="X14" s="53">
        <f>IF(ISERROR(VLOOKUP($U$14,'TAR FIN'!$A$1:$O$85,15,0)),0,VLOOKUP($U$14,'TAR FIN'!$A$1:$O$85,15,0))*(1-0.06)</f>
        <v>112.7718</v>
      </c>
      <c r="Y14" s="53"/>
      <c r="Z14" s="53">
        <f ca="1">('TUSD BE'!$AM$12+'TUSD BF'!$AM$12+'TUSD CVA'!$AM$12)*1*(1-0.03)</f>
        <v>98.026390524893429</v>
      </c>
      <c r="AA14" s="53">
        <f>('TE BE'!$AB$6+'TE BF'!$AB$6+'TE CVA'!$AB$6)*1*(1-0.03)</f>
        <v>118.90878875575021</v>
      </c>
      <c r="AB14" s="53">
        <f>(SUBSIDIO!$J$14*SUBSIDIO!$V$14)*(0.06)/(1-0.06)</f>
        <v>0</v>
      </c>
      <c r="AC14" s="53">
        <f>((SUBSIDIO!$L$14*SUBSIDIO!$W$14)+(SUBSIDIO!$N$14*SUBSIDIO!$X$14))*(0.06)/(1-0.06)</f>
        <v>532.52802900000006</v>
      </c>
      <c r="AD14" s="53">
        <f>(SUBSIDIO!$J$14*SUBSIDIO!$Y$14)*(0.03)/(1-0.03)</f>
        <v>0</v>
      </c>
      <c r="AE14" s="53">
        <f ca="1">((SUBSIDIO!$L$14*SUBSIDIO!$Z$14)+(SUBSIDIO!$N$14*SUBSIDIO!$AA$14))*(0.03)/(1-0.03)</f>
        <v>320.13594059925498</v>
      </c>
      <c r="AF14" s="4" t="s">
        <v>624</v>
      </c>
    </row>
    <row r="15" spans="1:36" ht="11.25" customHeight="1" x14ac:dyDescent="0.3">
      <c r="A15" s="4" t="s">
        <v>21</v>
      </c>
      <c r="B15" s="4" t="s">
        <v>35</v>
      </c>
      <c r="C15" s="4" t="s">
        <v>36</v>
      </c>
      <c r="D15" s="4" t="s">
        <v>48</v>
      </c>
      <c r="E15" s="4" t="s">
        <v>49</v>
      </c>
      <c r="F15" s="4" t="s">
        <v>25</v>
      </c>
      <c r="G15" s="4" t="s">
        <v>25</v>
      </c>
      <c r="H15" s="4" t="s">
        <v>38</v>
      </c>
      <c r="I15" s="5">
        <v>44593</v>
      </c>
      <c r="J15" s="6">
        <v>0</v>
      </c>
      <c r="K15" s="53">
        <v>0</v>
      </c>
      <c r="L15" s="6">
        <v>27.297999999999998</v>
      </c>
      <c r="M15" s="53">
        <v>27.297999999999998</v>
      </c>
      <c r="N15" s="6">
        <v>27.297999999999998</v>
      </c>
      <c r="O15" s="53">
        <v>27.297999999999998</v>
      </c>
      <c r="P15" s="6">
        <v>0</v>
      </c>
      <c r="Q15" s="4" t="s">
        <v>26</v>
      </c>
      <c r="R15" s="4">
        <v>0</v>
      </c>
      <c r="S15" s="4">
        <v>0</v>
      </c>
      <c r="T15" s="4">
        <v>10</v>
      </c>
      <c r="U15" s="4">
        <v>40</v>
      </c>
      <c r="V15" s="53">
        <f>IF(ISERROR(VLOOKUP($S$15,'TAR FIN'!$A$1:$O$85,15,0)),0,VLOOKUP($S$15,'TAR FIN'!$A$1:$O$85,15,0))</f>
        <v>0</v>
      </c>
      <c r="W15" s="53">
        <f>IF(ISERROR(VLOOKUP($T$15,'TAR FIN'!$A$1:$O$85,15,0)),0,VLOOKUP($T$15,'TAR FIN'!$A$1:$O$85,15,0))*(1-0.06)</f>
        <v>62.077600000000004</v>
      </c>
      <c r="X15" s="53">
        <f>IF(ISERROR(VLOOKUP($U$15,'TAR FIN'!$A$1:$O$85,15,0)),0,VLOOKUP($U$15,'TAR FIN'!$A$1:$O$85,15,0))*(1-0.06)</f>
        <v>112.7718</v>
      </c>
      <c r="Y15" s="53"/>
      <c r="Z15" s="53">
        <f ca="1">('TUSD BE'!$AM$12+'TUSD BF'!$AM$12+'TUSD CVA'!$AM$12)*1*(1-0.03)</f>
        <v>98.026390524893429</v>
      </c>
      <c r="AA15" s="53">
        <f>('TE BE'!$AB$6+'TE BF'!$AB$6+'TE CVA'!$AB$6)*1*(1-0.03)</f>
        <v>118.90878875575021</v>
      </c>
      <c r="AB15" s="53">
        <f>(SUBSIDIO!$J$15*SUBSIDIO!$V$15)*(0.06)/(1-0.06)</f>
        <v>0</v>
      </c>
      <c r="AC15" s="53">
        <f>((SUBSIDIO!$L$15*SUBSIDIO!$W$15)+(SUBSIDIO!$N$15*SUBSIDIO!$X$15))*(0.06)/(1-0.06)</f>
        <v>304.66205880000001</v>
      </c>
      <c r="AD15" s="53">
        <f>(SUBSIDIO!$J$15*SUBSIDIO!$Y$15)*(0.03)/(1-0.03)</f>
        <v>0</v>
      </c>
      <c r="AE15" s="53">
        <f ca="1">((SUBSIDIO!$L$15*SUBSIDIO!$Z$15)+(SUBSIDIO!$N$15*SUBSIDIO!$AA$15))*(0.03)/(1-0.03)</f>
        <v>183.15143888669104</v>
      </c>
      <c r="AF15" s="4" t="s">
        <v>624</v>
      </c>
    </row>
    <row r="16" spans="1:36" ht="11.25" customHeight="1" x14ac:dyDescent="0.3">
      <c r="A16" s="4" t="s">
        <v>21</v>
      </c>
      <c r="B16" s="4" t="s">
        <v>35</v>
      </c>
      <c r="C16" s="4" t="s">
        <v>36</v>
      </c>
      <c r="D16" s="4" t="s">
        <v>48</v>
      </c>
      <c r="E16" s="4" t="s">
        <v>49</v>
      </c>
      <c r="F16" s="4" t="s">
        <v>25</v>
      </c>
      <c r="G16" s="4" t="s">
        <v>25</v>
      </c>
      <c r="H16" s="4" t="s">
        <v>38</v>
      </c>
      <c r="I16" s="5">
        <v>44621</v>
      </c>
      <c r="J16" s="6">
        <v>0</v>
      </c>
      <c r="K16" s="53">
        <v>0</v>
      </c>
      <c r="L16" s="6">
        <v>33.279000000000003</v>
      </c>
      <c r="M16" s="53">
        <v>33.279000000000003</v>
      </c>
      <c r="N16" s="6">
        <v>33.279000000000003</v>
      </c>
      <c r="O16" s="53">
        <v>33.279000000000003</v>
      </c>
      <c r="P16" s="6">
        <v>0</v>
      </c>
      <c r="Q16" s="4" t="s">
        <v>26</v>
      </c>
      <c r="R16" s="4">
        <v>0</v>
      </c>
      <c r="S16" s="4">
        <v>0</v>
      </c>
      <c r="T16" s="4">
        <v>10</v>
      </c>
      <c r="U16" s="4">
        <v>40</v>
      </c>
      <c r="V16" s="53">
        <f>IF(ISERROR(VLOOKUP($S$16,'TAR FIN'!$A$1:$O$85,15,0)),0,VLOOKUP($S$16,'TAR FIN'!$A$1:$O$85,15,0))</f>
        <v>0</v>
      </c>
      <c r="W16" s="53">
        <f>IF(ISERROR(VLOOKUP($T$16,'TAR FIN'!$A$1:$O$85,15,0)),0,VLOOKUP($T$16,'TAR FIN'!$A$1:$O$85,15,0))*(1-0.06)</f>
        <v>62.077600000000004</v>
      </c>
      <c r="X16" s="53">
        <f>IF(ISERROR(VLOOKUP($U$16,'TAR FIN'!$A$1:$O$85,15,0)),0,VLOOKUP($U$16,'TAR FIN'!$A$1:$O$85,15,0))*(1-0.06)</f>
        <v>112.7718</v>
      </c>
      <c r="Y16" s="53"/>
      <c r="Z16" s="53">
        <f ca="1">('TUSD BE'!$AM$12+'TUSD BF'!$AM$12+'TUSD CVA'!$AM$12)*1*(1-0.03)</f>
        <v>98.026390524893429</v>
      </c>
      <c r="AA16" s="53">
        <f>('TE BE'!$AB$6+'TE BF'!$AB$6+'TE CVA'!$AB$6)*1*(1-0.03)</f>
        <v>118.90878875575021</v>
      </c>
      <c r="AB16" s="53">
        <f>(SUBSIDIO!$J$16*SUBSIDIO!$V$16)*(0.06)/(1-0.06)</f>
        <v>0</v>
      </c>
      <c r="AC16" s="53">
        <f>((SUBSIDIO!$L$16*SUBSIDIO!$W$16)+(SUBSIDIO!$N$16*SUBSIDIO!$X$16))*(0.06)/(1-0.06)</f>
        <v>371.41360740000005</v>
      </c>
      <c r="AD16" s="53">
        <f>(SUBSIDIO!$J$16*SUBSIDIO!$Y$16)*(0.03)/(1-0.03)</f>
        <v>0</v>
      </c>
      <c r="AE16" s="53">
        <f ca="1">((SUBSIDIO!$L$16*SUBSIDIO!$Z$16)+(SUBSIDIO!$N$16*SUBSIDIO!$AA$16))*(0.03)/(1-0.03)</f>
        <v>223.27997416331567</v>
      </c>
      <c r="AF16" s="4" t="s">
        <v>624</v>
      </c>
    </row>
    <row r="17" spans="1:32" ht="11.25" customHeight="1" x14ac:dyDescent="0.3">
      <c r="A17" s="4" t="s">
        <v>21</v>
      </c>
      <c r="B17" s="4" t="s">
        <v>35</v>
      </c>
      <c r="C17" s="4" t="s">
        <v>36</v>
      </c>
      <c r="D17" s="4" t="s">
        <v>48</v>
      </c>
      <c r="E17" s="4" t="s">
        <v>49</v>
      </c>
      <c r="F17" s="4" t="s">
        <v>25</v>
      </c>
      <c r="G17" s="4" t="s">
        <v>25</v>
      </c>
      <c r="H17" s="4" t="s">
        <v>38</v>
      </c>
      <c r="I17" s="5">
        <v>44652</v>
      </c>
      <c r="J17" s="6">
        <v>0</v>
      </c>
      <c r="K17" s="53">
        <v>0</v>
      </c>
      <c r="L17" s="6">
        <v>32.734999999999999</v>
      </c>
      <c r="M17" s="53">
        <v>32.734999999999999</v>
      </c>
      <c r="N17" s="6">
        <v>32.734999999999999</v>
      </c>
      <c r="O17" s="53">
        <v>32.734999999999999</v>
      </c>
      <c r="P17" s="6">
        <v>0</v>
      </c>
      <c r="Q17" s="4" t="s">
        <v>26</v>
      </c>
      <c r="R17" s="4">
        <v>0</v>
      </c>
      <c r="S17" s="4">
        <v>0</v>
      </c>
      <c r="T17" s="4">
        <v>10</v>
      </c>
      <c r="U17" s="4">
        <v>40</v>
      </c>
      <c r="V17" s="53">
        <f>IF(ISERROR(VLOOKUP($S$17,'TAR FIN'!$A$1:$O$85,15,0)),0,VLOOKUP($S$17,'TAR FIN'!$A$1:$O$85,15,0))</f>
        <v>0</v>
      </c>
      <c r="W17" s="53">
        <f>IF(ISERROR(VLOOKUP($T$17,'TAR FIN'!$A$1:$O$85,15,0)),0,VLOOKUP($T$17,'TAR FIN'!$A$1:$O$85,15,0))*(1-0.06)</f>
        <v>62.077600000000004</v>
      </c>
      <c r="X17" s="53">
        <f>IF(ISERROR(VLOOKUP($U$17,'TAR FIN'!$A$1:$O$85,15,0)),0,VLOOKUP($U$17,'TAR FIN'!$A$1:$O$85,15,0))*(1-0.06)</f>
        <v>112.7718</v>
      </c>
      <c r="Y17" s="53"/>
      <c r="Z17" s="53">
        <f ca="1">('TUSD BE'!$AM$12+'TUSD BF'!$AM$12+'TUSD CVA'!$AM$12)*1*(1-0.03)</f>
        <v>98.026390524893429</v>
      </c>
      <c r="AA17" s="53">
        <f>('TE BE'!$AB$6+'TE BF'!$AB$6+'TE CVA'!$AB$6)*1*(1-0.03)</f>
        <v>118.90878875575021</v>
      </c>
      <c r="AB17" s="53">
        <f>(SUBSIDIO!$J$17*SUBSIDIO!$V$17)*(0.06)/(1-0.06)</f>
        <v>0</v>
      </c>
      <c r="AC17" s="53">
        <f>((SUBSIDIO!$L$17*SUBSIDIO!$W$17)+(SUBSIDIO!$N$17*SUBSIDIO!$X$17))*(0.06)/(1-0.06)</f>
        <v>365.342241</v>
      </c>
      <c r="AD17" s="53">
        <f>(SUBSIDIO!$J$17*SUBSIDIO!$Y$17)*(0.03)/(1-0.03)</f>
        <v>0</v>
      </c>
      <c r="AE17" s="53">
        <f ca="1">((SUBSIDIO!$L$17*SUBSIDIO!$Z$17)+(SUBSIDIO!$N$17*SUBSIDIO!$AA$17))*(0.03)/(1-0.03)</f>
        <v>219.6300956830475</v>
      </c>
      <c r="AF17" s="4" t="s">
        <v>624</v>
      </c>
    </row>
    <row r="18" spans="1:32" ht="11.25" customHeight="1" x14ac:dyDescent="0.3">
      <c r="A18" s="4" t="s">
        <v>21</v>
      </c>
      <c r="B18" s="4" t="s">
        <v>35</v>
      </c>
      <c r="C18" s="4" t="s">
        <v>36</v>
      </c>
      <c r="D18" s="4" t="s">
        <v>48</v>
      </c>
      <c r="E18" s="4" t="s">
        <v>49</v>
      </c>
      <c r="F18" s="4" t="s">
        <v>25</v>
      </c>
      <c r="G18" s="4" t="s">
        <v>25</v>
      </c>
      <c r="H18" s="4" t="s">
        <v>38</v>
      </c>
      <c r="I18" s="5">
        <v>44682</v>
      </c>
      <c r="J18" s="6">
        <v>0</v>
      </c>
      <c r="K18" s="53">
        <v>0</v>
      </c>
      <c r="L18" s="6">
        <v>34.439</v>
      </c>
      <c r="M18" s="53">
        <v>34.439</v>
      </c>
      <c r="N18" s="6">
        <v>34.439</v>
      </c>
      <c r="O18" s="53">
        <v>34.439</v>
      </c>
      <c r="P18" s="6">
        <v>0</v>
      </c>
      <c r="Q18" s="4" t="s">
        <v>26</v>
      </c>
      <c r="R18" s="4">
        <v>0</v>
      </c>
      <c r="S18" s="4">
        <v>0</v>
      </c>
      <c r="T18" s="4">
        <v>10</v>
      </c>
      <c r="U18" s="4">
        <v>40</v>
      </c>
      <c r="V18" s="53">
        <f>IF(ISERROR(VLOOKUP($S$18,'TAR FIN'!$A$1:$O$85,15,0)),0,VLOOKUP($S$18,'TAR FIN'!$A$1:$O$85,15,0))</f>
        <v>0</v>
      </c>
      <c r="W18" s="53">
        <f>IF(ISERROR(VLOOKUP($T$18,'TAR FIN'!$A$1:$O$85,15,0)),0,VLOOKUP($T$18,'TAR FIN'!$A$1:$O$85,15,0))*(1-0.06)</f>
        <v>62.077600000000004</v>
      </c>
      <c r="X18" s="53">
        <f>IF(ISERROR(VLOOKUP($U$18,'TAR FIN'!$A$1:$O$85,15,0)),0,VLOOKUP($U$18,'TAR FIN'!$A$1:$O$85,15,0))*(1-0.06)</f>
        <v>112.7718</v>
      </c>
      <c r="Y18" s="53"/>
      <c r="Z18" s="53">
        <f ca="1">('TUSD BE'!$AM$12+'TUSD BF'!$AM$12+'TUSD CVA'!$AM$12)*1*(1-0.03)</f>
        <v>98.026390524893429</v>
      </c>
      <c r="AA18" s="53">
        <f>('TE BE'!$AB$6+'TE BF'!$AB$6+'TE CVA'!$AB$6)*1*(1-0.03)</f>
        <v>118.90878875575021</v>
      </c>
      <c r="AB18" s="53">
        <f>(SUBSIDIO!$J$18*SUBSIDIO!$V$18)*(0.06)/(1-0.06)</f>
        <v>0</v>
      </c>
      <c r="AC18" s="53">
        <f>((SUBSIDIO!$L$18*SUBSIDIO!$W$18)+(SUBSIDIO!$N$18*SUBSIDIO!$X$18))*(0.06)/(1-0.06)</f>
        <v>384.35990340000006</v>
      </c>
      <c r="AD18" s="53">
        <f>(SUBSIDIO!$J$18*SUBSIDIO!$Y$18)*(0.03)/(1-0.03)</f>
        <v>0</v>
      </c>
      <c r="AE18" s="53">
        <f ca="1">((SUBSIDIO!$L$18*SUBSIDIO!$Z$18)+(SUBSIDIO!$N$18*SUBSIDIO!$AA$18))*(0.03)/(1-0.03)</f>
        <v>231.06280327565213</v>
      </c>
      <c r="AF18" s="4" t="s">
        <v>624</v>
      </c>
    </row>
    <row r="19" spans="1:32" ht="11.25" customHeight="1" x14ac:dyDescent="0.3">
      <c r="A19" s="4" t="s">
        <v>21</v>
      </c>
      <c r="B19" s="4" t="s">
        <v>35</v>
      </c>
      <c r="C19" s="4" t="s">
        <v>36</v>
      </c>
      <c r="D19" s="4" t="s">
        <v>48</v>
      </c>
      <c r="E19" s="4" t="s">
        <v>49</v>
      </c>
      <c r="F19" s="4" t="s">
        <v>25</v>
      </c>
      <c r="G19" s="4" t="s">
        <v>25</v>
      </c>
      <c r="H19" s="4" t="s">
        <v>38</v>
      </c>
      <c r="I19" s="5">
        <v>44713</v>
      </c>
      <c r="J19" s="6">
        <v>0</v>
      </c>
      <c r="K19" s="53">
        <v>0</v>
      </c>
      <c r="L19" s="6">
        <v>34.14</v>
      </c>
      <c r="M19" s="53">
        <v>34.14</v>
      </c>
      <c r="N19" s="6">
        <v>34.14</v>
      </c>
      <c r="O19" s="53">
        <v>34.14</v>
      </c>
      <c r="P19" s="6">
        <v>0</v>
      </c>
      <c r="Q19" s="4" t="s">
        <v>26</v>
      </c>
      <c r="R19" s="4">
        <v>0</v>
      </c>
      <c r="S19" s="4">
        <v>0</v>
      </c>
      <c r="T19" s="4">
        <v>10</v>
      </c>
      <c r="U19" s="4">
        <v>40</v>
      </c>
      <c r="V19" s="53">
        <f>IF(ISERROR(VLOOKUP($S$19,'TAR FIN'!$A$1:$O$85,15,0)),0,VLOOKUP($S$19,'TAR FIN'!$A$1:$O$85,15,0))</f>
        <v>0</v>
      </c>
      <c r="W19" s="53">
        <f>IF(ISERROR(VLOOKUP($T$19,'TAR FIN'!$A$1:$O$85,15,0)),0,VLOOKUP($T$19,'TAR FIN'!$A$1:$O$85,15,0))*(1-0.06)</f>
        <v>62.077600000000004</v>
      </c>
      <c r="X19" s="53">
        <f>IF(ISERROR(VLOOKUP($U$19,'TAR FIN'!$A$1:$O$85,15,0)),0,VLOOKUP($U$19,'TAR FIN'!$A$1:$O$85,15,0))*(1-0.06)</f>
        <v>112.7718</v>
      </c>
      <c r="Y19" s="53"/>
      <c r="Z19" s="53">
        <f ca="1">('TUSD BE'!$AM$12+'TUSD BF'!$AM$12+'TUSD CVA'!$AM$12)*1*(1-0.03)</f>
        <v>98.026390524893429</v>
      </c>
      <c r="AA19" s="53">
        <f>('TE BE'!$AB$6+'TE BF'!$AB$6+'TE CVA'!$AB$6)*1*(1-0.03)</f>
        <v>118.90878875575021</v>
      </c>
      <c r="AB19" s="53">
        <f>(SUBSIDIO!$J$19*SUBSIDIO!$V$19)*(0.06)/(1-0.06)</f>
        <v>0</v>
      </c>
      <c r="AC19" s="53">
        <f>((SUBSIDIO!$L$19*SUBSIDIO!$W$19)+(SUBSIDIO!$N$19*SUBSIDIO!$X$19))*(0.06)/(1-0.06)</f>
        <v>381.02288400000003</v>
      </c>
      <c r="AD19" s="53">
        <f>(SUBSIDIO!$J$19*SUBSIDIO!$Y$19)*(0.03)/(1-0.03)</f>
        <v>0</v>
      </c>
      <c r="AE19" s="53">
        <f ca="1">((SUBSIDIO!$L$19*SUBSIDIO!$Z$19)+(SUBSIDIO!$N$19*SUBSIDIO!$AA$19))*(0.03)/(1-0.03)</f>
        <v>229.056711978593</v>
      </c>
      <c r="AF19" s="4" t="s">
        <v>624</v>
      </c>
    </row>
    <row r="20" spans="1:32" ht="11.25" customHeight="1" x14ac:dyDescent="0.3">
      <c r="A20" s="4" t="s">
        <v>21</v>
      </c>
      <c r="B20" s="4" t="s">
        <v>35</v>
      </c>
      <c r="C20" s="4" t="s">
        <v>36</v>
      </c>
      <c r="D20" s="4" t="s">
        <v>48</v>
      </c>
      <c r="E20" s="4" t="s">
        <v>49</v>
      </c>
      <c r="F20" s="4" t="s">
        <v>25</v>
      </c>
      <c r="G20" s="4" t="s">
        <v>25</v>
      </c>
      <c r="H20" s="4" t="s">
        <v>38</v>
      </c>
      <c r="I20" s="5">
        <v>44743</v>
      </c>
      <c r="J20" s="6">
        <v>0</v>
      </c>
      <c r="K20" s="53">
        <v>0</v>
      </c>
      <c r="L20" s="6">
        <v>39.697000000000003</v>
      </c>
      <c r="M20" s="53">
        <v>39.697000000000003</v>
      </c>
      <c r="N20" s="6">
        <v>39.697000000000003</v>
      </c>
      <c r="O20" s="53">
        <v>39.697000000000003</v>
      </c>
      <c r="P20" s="6">
        <v>0</v>
      </c>
      <c r="Q20" s="4" t="s">
        <v>26</v>
      </c>
      <c r="R20" s="4">
        <v>0</v>
      </c>
      <c r="S20" s="4">
        <v>0</v>
      </c>
      <c r="T20" s="4">
        <v>10</v>
      </c>
      <c r="U20" s="4">
        <v>40</v>
      </c>
      <c r="V20" s="53">
        <f>IF(ISERROR(VLOOKUP($S$20,'TAR FIN'!$A$1:$O$85,15,0)),0,VLOOKUP($S$20,'TAR FIN'!$A$1:$O$85,15,0))</f>
        <v>0</v>
      </c>
      <c r="W20" s="53">
        <f>IF(ISERROR(VLOOKUP($T$20,'TAR FIN'!$A$1:$O$85,15,0)),0,VLOOKUP($T$20,'TAR FIN'!$A$1:$O$85,15,0))*(1-0.06)</f>
        <v>62.077600000000004</v>
      </c>
      <c r="X20" s="53">
        <f>IF(ISERROR(VLOOKUP($U$20,'TAR FIN'!$A$1:$O$85,15,0)),0,VLOOKUP($U$20,'TAR FIN'!$A$1:$O$85,15,0))*(1-0.06)</f>
        <v>112.7718</v>
      </c>
      <c r="Y20" s="53"/>
      <c r="Z20" s="53">
        <f ca="1">('TUSD BE'!$AM$12+'TUSD BF'!$AM$12+'TUSD CVA'!$AM$12)*1*(1-0.03)</f>
        <v>98.026390524893429</v>
      </c>
      <c r="AA20" s="53">
        <f>('TE BE'!$AB$6+'TE BF'!$AB$6+'TE CVA'!$AB$6)*1*(1-0.03)</f>
        <v>118.90878875575021</v>
      </c>
      <c r="AB20" s="53">
        <f>(SUBSIDIO!$J$20*SUBSIDIO!$V$20)*(0.06)/(1-0.06)</f>
        <v>0</v>
      </c>
      <c r="AC20" s="53">
        <f>((SUBSIDIO!$L$20*SUBSIDIO!$W$20)+(SUBSIDIO!$N$20*SUBSIDIO!$X$20))*(0.06)/(1-0.06)</f>
        <v>443.04233820000007</v>
      </c>
      <c r="AD20" s="53">
        <f>(SUBSIDIO!$J$20*SUBSIDIO!$Y$20)*(0.03)/(1-0.03)</f>
        <v>0</v>
      </c>
      <c r="AE20" s="53">
        <f ca="1">((SUBSIDIO!$L$20*SUBSIDIO!$Z$20)+(SUBSIDIO!$N$20*SUBSIDIO!$AA$20))*(0.03)/(1-0.03)</f>
        <v>266.34048902794984</v>
      </c>
      <c r="AF20" s="4" t="s">
        <v>624</v>
      </c>
    </row>
    <row r="21" spans="1:32" ht="11.25" customHeight="1" x14ac:dyDescent="0.3">
      <c r="A21" s="4" t="s">
        <v>52</v>
      </c>
      <c r="B21" s="4" t="s">
        <v>35</v>
      </c>
      <c r="C21" s="4" t="s">
        <v>36</v>
      </c>
      <c r="D21" s="4" t="s">
        <v>48</v>
      </c>
      <c r="E21" s="4" t="s">
        <v>49</v>
      </c>
      <c r="F21" s="4" t="s">
        <v>25</v>
      </c>
      <c r="G21" s="4" t="s">
        <v>25</v>
      </c>
      <c r="H21" s="4" t="s">
        <v>38</v>
      </c>
      <c r="I21" s="5">
        <v>44774</v>
      </c>
      <c r="J21" s="6">
        <v>0</v>
      </c>
      <c r="K21" s="53">
        <v>0</v>
      </c>
      <c r="L21" s="6">
        <v>39.697000000000003</v>
      </c>
      <c r="M21" s="53">
        <v>39.697000000000003</v>
      </c>
      <c r="N21" s="6">
        <v>39.697000000000003</v>
      </c>
      <c r="O21" s="53">
        <v>39.697000000000003</v>
      </c>
      <c r="P21" s="6">
        <v>0</v>
      </c>
      <c r="Q21" s="4" t="s">
        <v>26</v>
      </c>
      <c r="R21" s="4">
        <v>0</v>
      </c>
      <c r="S21" s="4">
        <v>0</v>
      </c>
      <c r="T21" s="4">
        <v>10</v>
      </c>
      <c r="U21" s="4">
        <v>40</v>
      </c>
      <c r="V21" s="53">
        <f>IF(ISERROR(VLOOKUP($S$21,'TAR FIN'!$A$1:$O$85,15,0)),0,VLOOKUP($S$21,'TAR FIN'!$A$1:$O$85,15,0))</f>
        <v>0</v>
      </c>
      <c r="W21" s="53">
        <f>IF(ISERROR(VLOOKUP($T$21,'TAR FIN'!$A$1:$O$85,15,0)),0,VLOOKUP($T$21,'TAR FIN'!$A$1:$O$85,15,0))*(1-0.06)</f>
        <v>62.077600000000004</v>
      </c>
      <c r="X21" s="53">
        <f>IF(ISERROR(VLOOKUP($U$21,'TAR FIN'!$A$1:$O$85,15,0)),0,VLOOKUP($U$21,'TAR FIN'!$A$1:$O$85,15,0))*(1-0.06)</f>
        <v>112.7718</v>
      </c>
      <c r="Y21" s="53"/>
      <c r="Z21" s="53">
        <f ca="1">('TUSD BE'!$AM$12+'TUSD BF'!$AM$12+'TUSD CVA'!$AM$12)*1*(1-0.03)</f>
        <v>98.026390524893429</v>
      </c>
      <c r="AA21" s="53">
        <f>('TE BE'!$AB$6+'TE BF'!$AB$6+'TE CVA'!$AB$6)*1*(1-0.03)</f>
        <v>118.90878875575021</v>
      </c>
      <c r="AB21" s="53">
        <f>(SUBSIDIO!$J$21*SUBSIDIO!$V$21)*(0.06)/(1-0.06)</f>
        <v>0</v>
      </c>
      <c r="AC21" s="53">
        <f>((SUBSIDIO!$L$21*SUBSIDIO!$W$21)+(SUBSIDIO!$N$21*SUBSIDIO!$X$21))*(0.06)/(1-0.06)</f>
        <v>443.04233820000007</v>
      </c>
      <c r="AD21" s="53">
        <f>(SUBSIDIO!$J$21*SUBSIDIO!$Y$21)*(0.03)/(1-0.03)</f>
        <v>0</v>
      </c>
      <c r="AE21" s="53">
        <f ca="1">((SUBSIDIO!$L$21*SUBSIDIO!$Z$21)+(SUBSIDIO!$N$21*SUBSIDIO!$AA$21))*(0.03)/(1-0.03)</f>
        <v>266.34048902794984</v>
      </c>
      <c r="AF21" s="4" t="s">
        <v>624</v>
      </c>
    </row>
    <row r="22" spans="1:32" ht="11.25" customHeight="1" x14ac:dyDescent="0.3">
      <c r="A22" s="4" t="s">
        <v>21</v>
      </c>
      <c r="B22" s="4" t="s">
        <v>35</v>
      </c>
      <c r="C22" s="4" t="s">
        <v>36</v>
      </c>
      <c r="D22" s="4" t="s">
        <v>48</v>
      </c>
      <c r="E22" s="4" t="s">
        <v>49</v>
      </c>
      <c r="F22" s="4" t="s">
        <v>25</v>
      </c>
      <c r="G22" s="4" t="s">
        <v>25</v>
      </c>
      <c r="H22" s="4" t="s">
        <v>25</v>
      </c>
      <c r="I22" s="5">
        <v>44501</v>
      </c>
      <c r="J22" s="6">
        <v>100</v>
      </c>
      <c r="K22" s="54">
        <v>100</v>
      </c>
      <c r="L22" s="6">
        <v>0</v>
      </c>
      <c r="M22" s="53">
        <v>0</v>
      </c>
      <c r="N22" s="6">
        <v>0</v>
      </c>
      <c r="O22" s="53">
        <v>0</v>
      </c>
      <c r="P22" s="6">
        <v>1</v>
      </c>
      <c r="Q22" s="4" t="s">
        <v>26</v>
      </c>
      <c r="R22" s="4">
        <v>0</v>
      </c>
      <c r="S22" s="4">
        <v>27</v>
      </c>
      <c r="T22" s="4">
        <v>0</v>
      </c>
      <c r="U22" s="4">
        <v>0</v>
      </c>
      <c r="V22" s="53">
        <f>IF(ISERROR(VLOOKUP($S$22,'TAR FIN'!$A$1:$O$85,15,0)),0,VLOOKUP($S$22,'TAR FIN'!$A$1:$O$85,15,0))*(1-0.06)</f>
        <v>38.680999999999997</v>
      </c>
      <c r="W22" s="53">
        <f>IF(ISERROR(VLOOKUP($T$22,'TAR FIN'!$A$1:$O$85,15,0)),0,VLOOKUP($T$22,'TAR FIN'!$A$1:$O$85,15,0))</f>
        <v>0</v>
      </c>
      <c r="X22" s="53">
        <f>IF(ISERROR(VLOOKUP($U$22,'TAR FIN'!$A$1:$O$85,15,0)),0,VLOOKUP($U$22,'TAR FIN'!$A$1:$O$85,15,0))</f>
        <v>0</v>
      </c>
      <c r="Y22" s="53">
        <f ca="1">('TUSD BE'!$AM$10+'TUSD BF'!$AM$10+'TUSD CVA'!$AM$10)*1*(1-0.03)</f>
        <v>40.203324927971032</v>
      </c>
      <c r="Z22" s="53"/>
      <c r="AA22" s="53"/>
      <c r="AB22" s="53">
        <f>(SUBSIDIO!$J$22*SUBSIDIO!$V$22)*(0.06)/(1-0.06)</f>
        <v>246.9</v>
      </c>
      <c r="AC22" s="53">
        <f>((SUBSIDIO!$L$22*SUBSIDIO!$W$22)+(SUBSIDIO!$N$22*SUBSIDIO!$X$22))*(0.06)/(1-0.06)</f>
        <v>0</v>
      </c>
      <c r="AD22" s="53">
        <f ca="1">(SUBSIDIO!$J$22*SUBSIDIO!$Y$22)*(0.03)/(1-0.03)</f>
        <v>124.34018018960113</v>
      </c>
      <c r="AE22" s="53">
        <f>((SUBSIDIO!$L$22*SUBSIDIO!$Z$22)+(SUBSIDIO!$N$22*SUBSIDIO!$AA$22))*(0.03)/(1-0.03)</f>
        <v>0</v>
      </c>
      <c r="AF22" s="4" t="s">
        <v>624</v>
      </c>
    </row>
    <row r="23" spans="1:32" ht="11.25" customHeight="1" x14ac:dyDescent="0.3">
      <c r="A23" s="4" t="s">
        <v>21</v>
      </c>
      <c r="B23" s="4" t="s">
        <v>35</v>
      </c>
      <c r="C23" s="4" t="s">
        <v>36</v>
      </c>
      <c r="D23" s="4" t="s">
        <v>48</v>
      </c>
      <c r="E23" s="4" t="s">
        <v>49</v>
      </c>
      <c r="F23" s="4" t="s">
        <v>25</v>
      </c>
      <c r="G23" s="4" t="s">
        <v>25</v>
      </c>
      <c r="H23" s="4" t="s">
        <v>25</v>
      </c>
      <c r="I23" s="5">
        <v>44531</v>
      </c>
      <c r="J23" s="6">
        <v>100</v>
      </c>
      <c r="K23" s="54">
        <v>100</v>
      </c>
      <c r="L23" s="6">
        <v>0</v>
      </c>
      <c r="M23" s="53">
        <v>0</v>
      </c>
      <c r="N23" s="6">
        <v>0</v>
      </c>
      <c r="O23" s="53">
        <v>0</v>
      </c>
      <c r="P23" s="6">
        <v>1</v>
      </c>
      <c r="Q23" s="4" t="s">
        <v>26</v>
      </c>
      <c r="R23" s="4">
        <v>0</v>
      </c>
      <c r="S23" s="4">
        <v>27</v>
      </c>
      <c r="T23" s="4">
        <v>0</v>
      </c>
      <c r="U23" s="4">
        <v>0</v>
      </c>
      <c r="V23" s="53">
        <f>IF(ISERROR(VLOOKUP($S$23,'TAR FIN'!$A$1:$O$85,15,0)),0,VLOOKUP($S$23,'TAR FIN'!$A$1:$O$85,15,0))*(1-0.06)</f>
        <v>38.680999999999997</v>
      </c>
      <c r="W23" s="53">
        <f>IF(ISERROR(VLOOKUP($T$23,'TAR FIN'!$A$1:$O$85,15,0)),0,VLOOKUP($T$23,'TAR FIN'!$A$1:$O$85,15,0))</f>
        <v>0</v>
      </c>
      <c r="X23" s="53">
        <f>IF(ISERROR(VLOOKUP($U$23,'TAR FIN'!$A$1:$O$85,15,0)),0,VLOOKUP($U$23,'TAR FIN'!$A$1:$O$85,15,0))</f>
        <v>0</v>
      </c>
      <c r="Y23" s="53">
        <f ca="1">('TUSD BE'!$AM$10+'TUSD BF'!$AM$10+'TUSD CVA'!$AM$10)*1*(1-0.03)</f>
        <v>40.203324927971032</v>
      </c>
      <c r="Z23" s="53"/>
      <c r="AA23" s="53"/>
      <c r="AB23" s="53">
        <f>(SUBSIDIO!$J$23*SUBSIDIO!$V$23)*(0.06)/(1-0.06)</f>
        <v>246.9</v>
      </c>
      <c r="AC23" s="53">
        <f>((SUBSIDIO!$L$23*SUBSIDIO!$W$23)+(SUBSIDIO!$N$23*SUBSIDIO!$X$23))*(0.06)/(1-0.06)</f>
        <v>0</v>
      </c>
      <c r="AD23" s="53">
        <f ca="1">(SUBSIDIO!$J$23*SUBSIDIO!$Y$23)*(0.03)/(1-0.03)</f>
        <v>124.34018018960113</v>
      </c>
      <c r="AE23" s="53">
        <f>((SUBSIDIO!$L$23*SUBSIDIO!$Z$23)+(SUBSIDIO!$N$23*SUBSIDIO!$AA$23))*(0.03)/(1-0.03)</f>
        <v>0</v>
      </c>
      <c r="AF23" s="4" t="s">
        <v>624</v>
      </c>
    </row>
    <row r="24" spans="1:32" ht="11.25" customHeight="1" x14ac:dyDescent="0.3">
      <c r="A24" s="4" t="s">
        <v>21</v>
      </c>
      <c r="B24" s="4" t="s">
        <v>35</v>
      </c>
      <c r="C24" s="4" t="s">
        <v>36</v>
      </c>
      <c r="D24" s="4" t="s">
        <v>48</v>
      </c>
      <c r="E24" s="4" t="s">
        <v>49</v>
      </c>
      <c r="F24" s="4" t="s">
        <v>25</v>
      </c>
      <c r="G24" s="4" t="s">
        <v>25</v>
      </c>
      <c r="H24" s="4" t="s">
        <v>25</v>
      </c>
      <c r="I24" s="5">
        <v>44562</v>
      </c>
      <c r="J24" s="6">
        <v>101</v>
      </c>
      <c r="K24" s="54">
        <v>101</v>
      </c>
      <c r="L24" s="6">
        <v>0</v>
      </c>
      <c r="M24" s="53">
        <v>0</v>
      </c>
      <c r="N24" s="6">
        <v>0</v>
      </c>
      <c r="O24" s="53">
        <v>0</v>
      </c>
      <c r="P24" s="6">
        <v>1</v>
      </c>
      <c r="Q24" s="4" t="s">
        <v>26</v>
      </c>
      <c r="R24" s="4">
        <v>0</v>
      </c>
      <c r="S24" s="4">
        <v>27</v>
      </c>
      <c r="T24" s="4">
        <v>0</v>
      </c>
      <c r="U24" s="4">
        <v>0</v>
      </c>
      <c r="V24" s="53">
        <f>IF(ISERROR(VLOOKUP($S$24,'TAR FIN'!$A$1:$O$85,15,0)),0,VLOOKUP($S$24,'TAR FIN'!$A$1:$O$85,15,0))*(1-0.06)</f>
        <v>38.680999999999997</v>
      </c>
      <c r="W24" s="53">
        <f>IF(ISERROR(VLOOKUP($T$24,'TAR FIN'!$A$1:$O$85,15,0)),0,VLOOKUP($T$24,'TAR FIN'!$A$1:$O$85,15,0))</f>
        <v>0</v>
      </c>
      <c r="X24" s="53">
        <f>IF(ISERROR(VLOOKUP($U$24,'TAR FIN'!$A$1:$O$85,15,0)),0,VLOOKUP($U$24,'TAR FIN'!$A$1:$O$85,15,0))</f>
        <v>0</v>
      </c>
      <c r="Y24" s="53">
        <f ca="1">('TUSD BE'!$AM$10+'TUSD BF'!$AM$10+'TUSD CVA'!$AM$10)*1*(1-0.03)</f>
        <v>40.203324927971032</v>
      </c>
      <c r="Z24" s="53"/>
      <c r="AA24" s="53"/>
      <c r="AB24" s="53">
        <f>(SUBSIDIO!$J$24*SUBSIDIO!$V$24)*(0.06)/(1-0.06)</f>
        <v>249.369</v>
      </c>
      <c r="AC24" s="53">
        <f>((SUBSIDIO!$L$24*SUBSIDIO!$W$24)+(SUBSIDIO!$N$24*SUBSIDIO!$X$24))*(0.06)/(1-0.06)</f>
        <v>0</v>
      </c>
      <c r="AD24" s="53">
        <f ca="1">(SUBSIDIO!$J$24*SUBSIDIO!$Y$24)*(0.03)/(1-0.03)</f>
        <v>125.58358199149714</v>
      </c>
      <c r="AE24" s="53">
        <f>((SUBSIDIO!$L$24*SUBSIDIO!$Z$24)+(SUBSIDIO!$N$24*SUBSIDIO!$AA$24))*(0.03)/(1-0.03)</f>
        <v>0</v>
      </c>
      <c r="AF24" s="4" t="s">
        <v>624</v>
      </c>
    </row>
    <row r="25" spans="1:32" ht="11.25" customHeight="1" x14ac:dyDescent="0.3">
      <c r="A25" s="4" t="s">
        <v>21</v>
      </c>
      <c r="B25" s="4" t="s">
        <v>35</v>
      </c>
      <c r="C25" s="4" t="s">
        <v>36</v>
      </c>
      <c r="D25" s="4" t="s">
        <v>48</v>
      </c>
      <c r="E25" s="4" t="s">
        <v>49</v>
      </c>
      <c r="F25" s="4" t="s">
        <v>25</v>
      </c>
      <c r="G25" s="4" t="s">
        <v>25</v>
      </c>
      <c r="H25" s="4" t="s">
        <v>25</v>
      </c>
      <c r="I25" s="5">
        <v>44593</v>
      </c>
      <c r="J25" s="6">
        <v>100</v>
      </c>
      <c r="K25" s="54">
        <v>100</v>
      </c>
      <c r="L25" s="6">
        <v>0</v>
      </c>
      <c r="M25" s="53">
        <v>0</v>
      </c>
      <c r="N25" s="6">
        <v>0</v>
      </c>
      <c r="O25" s="53">
        <v>0</v>
      </c>
      <c r="P25" s="6">
        <v>1</v>
      </c>
      <c r="Q25" s="4" t="s">
        <v>26</v>
      </c>
      <c r="R25" s="4">
        <v>0</v>
      </c>
      <c r="S25" s="4">
        <v>27</v>
      </c>
      <c r="T25" s="4">
        <v>0</v>
      </c>
      <c r="U25" s="4">
        <v>0</v>
      </c>
      <c r="V25" s="53">
        <f>IF(ISERROR(VLOOKUP($S$25,'TAR FIN'!$A$1:$O$85,15,0)),0,VLOOKUP($S$25,'TAR FIN'!$A$1:$O$85,15,0))*(1-0.06)</f>
        <v>38.680999999999997</v>
      </c>
      <c r="W25" s="53">
        <f>IF(ISERROR(VLOOKUP($T$25,'TAR FIN'!$A$1:$O$85,15,0)),0,VLOOKUP($T$25,'TAR FIN'!$A$1:$O$85,15,0))</f>
        <v>0</v>
      </c>
      <c r="X25" s="53">
        <f>IF(ISERROR(VLOOKUP($U$25,'TAR FIN'!$A$1:$O$85,15,0)),0,VLOOKUP($U$25,'TAR FIN'!$A$1:$O$85,15,0))</f>
        <v>0</v>
      </c>
      <c r="Y25" s="53">
        <f ca="1">('TUSD BE'!$AM$10+'TUSD BF'!$AM$10+'TUSD CVA'!$AM$10)*1*(1-0.03)</f>
        <v>40.203324927971032</v>
      </c>
      <c r="Z25" s="53"/>
      <c r="AA25" s="53"/>
      <c r="AB25" s="53">
        <f>(SUBSIDIO!$J$25*SUBSIDIO!$V$25)*(0.06)/(1-0.06)</f>
        <v>246.9</v>
      </c>
      <c r="AC25" s="53">
        <f>((SUBSIDIO!$L$25*SUBSIDIO!$W$25)+(SUBSIDIO!$N$25*SUBSIDIO!$X$25))*(0.06)/(1-0.06)</f>
        <v>0</v>
      </c>
      <c r="AD25" s="53">
        <f ca="1">(SUBSIDIO!$J$25*SUBSIDIO!$Y$25)*(0.03)/(1-0.03)</f>
        <v>124.34018018960113</v>
      </c>
      <c r="AE25" s="53">
        <f>((SUBSIDIO!$L$25*SUBSIDIO!$Z$25)+(SUBSIDIO!$N$25*SUBSIDIO!$AA$25))*(0.03)/(1-0.03)</f>
        <v>0</v>
      </c>
      <c r="AF25" s="4" t="s">
        <v>624</v>
      </c>
    </row>
    <row r="26" spans="1:32" ht="11.25" customHeight="1" x14ac:dyDescent="0.3">
      <c r="A26" s="4" t="s">
        <v>21</v>
      </c>
      <c r="B26" s="4" t="s">
        <v>35</v>
      </c>
      <c r="C26" s="4" t="s">
        <v>36</v>
      </c>
      <c r="D26" s="4" t="s">
        <v>48</v>
      </c>
      <c r="E26" s="4" t="s">
        <v>49</v>
      </c>
      <c r="F26" s="4" t="s">
        <v>25</v>
      </c>
      <c r="G26" s="4" t="s">
        <v>25</v>
      </c>
      <c r="H26" s="4" t="s">
        <v>25</v>
      </c>
      <c r="I26" s="5">
        <v>44621</v>
      </c>
      <c r="J26" s="6">
        <v>100</v>
      </c>
      <c r="K26" s="54">
        <v>100</v>
      </c>
      <c r="L26" s="6">
        <v>0</v>
      </c>
      <c r="M26" s="53">
        <v>0</v>
      </c>
      <c r="N26" s="6">
        <v>0</v>
      </c>
      <c r="O26" s="53">
        <v>0</v>
      </c>
      <c r="P26" s="6">
        <v>1</v>
      </c>
      <c r="Q26" s="4" t="s">
        <v>26</v>
      </c>
      <c r="R26" s="4">
        <v>0</v>
      </c>
      <c r="S26" s="4">
        <v>27</v>
      </c>
      <c r="T26" s="4">
        <v>0</v>
      </c>
      <c r="U26" s="4">
        <v>0</v>
      </c>
      <c r="V26" s="53">
        <f>IF(ISERROR(VLOOKUP($S$26,'TAR FIN'!$A$1:$O$85,15,0)),0,VLOOKUP($S$26,'TAR FIN'!$A$1:$O$85,15,0))*(1-0.06)</f>
        <v>38.680999999999997</v>
      </c>
      <c r="W26" s="53">
        <f>IF(ISERROR(VLOOKUP($T$26,'TAR FIN'!$A$1:$O$85,15,0)),0,VLOOKUP($T$26,'TAR FIN'!$A$1:$O$85,15,0))</f>
        <v>0</v>
      </c>
      <c r="X26" s="53">
        <f>IF(ISERROR(VLOOKUP($U$26,'TAR FIN'!$A$1:$O$85,15,0)),0,VLOOKUP($U$26,'TAR FIN'!$A$1:$O$85,15,0))</f>
        <v>0</v>
      </c>
      <c r="Y26" s="53">
        <f ca="1">('TUSD BE'!$AM$10+'TUSD BF'!$AM$10+'TUSD CVA'!$AM$10)*1*(1-0.03)</f>
        <v>40.203324927971032</v>
      </c>
      <c r="Z26" s="53"/>
      <c r="AA26" s="53"/>
      <c r="AB26" s="53">
        <f>(SUBSIDIO!$J$26*SUBSIDIO!$V$26)*(0.06)/(1-0.06)</f>
        <v>246.9</v>
      </c>
      <c r="AC26" s="53">
        <f>((SUBSIDIO!$L$26*SUBSIDIO!$W$26)+(SUBSIDIO!$N$26*SUBSIDIO!$X$26))*(0.06)/(1-0.06)</f>
        <v>0</v>
      </c>
      <c r="AD26" s="53">
        <f ca="1">(SUBSIDIO!$J$26*SUBSIDIO!$Y$26)*(0.03)/(1-0.03)</f>
        <v>124.34018018960113</v>
      </c>
      <c r="AE26" s="53">
        <f>((SUBSIDIO!$L$26*SUBSIDIO!$Z$26)+(SUBSIDIO!$N$26*SUBSIDIO!$AA$26))*(0.03)/(1-0.03)</f>
        <v>0</v>
      </c>
      <c r="AF26" s="4" t="s">
        <v>624</v>
      </c>
    </row>
    <row r="27" spans="1:32" ht="11.25" customHeight="1" x14ac:dyDescent="0.3">
      <c r="A27" s="4" t="s">
        <v>21</v>
      </c>
      <c r="B27" s="4" t="s">
        <v>35</v>
      </c>
      <c r="C27" s="4" t="s">
        <v>36</v>
      </c>
      <c r="D27" s="4" t="s">
        <v>48</v>
      </c>
      <c r="E27" s="4" t="s">
        <v>49</v>
      </c>
      <c r="F27" s="4" t="s">
        <v>25</v>
      </c>
      <c r="G27" s="4" t="s">
        <v>25</v>
      </c>
      <c r="H27" s="4" t="s">
        <v>25</v>
      </c>
      <c r="I27" s="5">
        <v>44652</v>
      </c>
      <c r="J27" s="6">
        <v>100</v>
      </c>
      <c r="K27" s="54">
        <v>100</v>
      </c>
      <c r="L27" s="6">
        <v>0</v>
      </c>
      <c r="M27" s="53">
        <v>0</v>
      </c>
      <c r="N27" s="6">
        <v>0</v>
      </c>
      <c r="O27" s="53">
        <v>0</v>
      </c>
      <c r="P27" s="6">
        <v>1</v>
      </c>
      <c r="Q27" s="4" t="s">
        <v>26</v>
      </c>
      <c r="R27" s="4">
        <v>0</v>
      </c>
      <c r="S27" s="4">
        <v>27</v>
      </c>
      <c r="T27" s="4">
        <v>0</v>
      </c>
      <c r="U27" s="4">
        <v>0</v>
      </c>
      <c r="V27" s="53">
        <f>IF(ISERROR(VLOOKUP($S$27,'TAR FIN'!$A$1:$O$85,15,0)),0,VLOOKUP($S$27,'TAR FIN'!$A$1:$O$85,15,0))*(1-0.06)</f>
        <v>38.680999999999997</v>
      </c>
      <c r="W27" s="53">
        <f>IF(ISERROR(VLOOKUP($T$27,'TAR FIN'!$A$1:$O$85,15,0)),0,VLOOKUP($T$27,'TAR FIN'!$A$1:$O$85,15,0))</f>
        <v>0</v>
      </c>
      <c r="X27" s="53">
        <f>IF(ISERROR(VLOOKUP($U$27,'TAR FIN'!$A$1:$O$85,15,0)),0,VLOOKUP($U$27,'TAR FIN'!$A$1:$O$85,15,0))</f>
        <v>0</v>
      </c>
      <c r="Y27" s="53">
        <f ca="1">('TUSD BE'!$AM$10+'TUSD BF'!$AM$10+'TUSD CVA'!$AM$10)*1*(1-0.03)</f>
        <v>40.203324927971032</v>
      </c>
      <c r="Z27" s="53"/>
      <c r="AA27" s="53"/>
      <c r="AB27" s="53">
        <f>(SUBSIDIO!$J$27*SUBSIDIO!$V$27)*(0.06)/(1-0.06)</f>
        <v>246.9</v>
      </c>
      <c r="AC27" s="53">
        <f>((SUBSIDIO!$L$27*SUBSIDIO!$W$27)+(SUBSIDIO!$N$27*SUBSIDIO!$X$27))*(0.06)/(1-0.06)</f>
        <v>0</v>
      </c>
      <c r="AD27" s="53">
        <f ca="1">(SUBSIDIO!$J$27*SUBSIDIO!$Y$27)*(0.03)/(1-0.03)</f>
        <v>124.34018018960113</v>
      </c>
      <c r="AE27" s="53">
        <f>((SUBSIDIO!$L$27*SUBSIDIO!$Z$27)+(SUBSIDIO!$N$27*SUBSIDIO!$AA$27))*(0.03)/(1-0.03)</f>
        <v>0</v>
      </c>
      <c r="AF27" s="4" t="s">
        <v>624</v>
      </c>
    </row>
    <row r="28" spans="1:32" ht="11.25" customHeight="1" x14ac:dyDescent="0.3">
      <c r="A28" s="4" t="s">
        <v>21</v>
      </c>
      <c r="B28" s="4" t="s">
        <v>35</v>
      </c>
      <c r="C28" s="4" t="s">
        <v>36</v>
      </c>
      <c r="D28" s="4" t="s">
        <v>48</v>
      </c>
      <c r="E28" s="4" t="s">
        <v>49</v>
      </c>
      <c r="F28" s="4" t="s">
        <v>25</v>
      </c>
      <c r="G28" s="4" t="s">
        <v>25</v>
      </c>
      <c r="H28" s="4" t="s">
        <v>25</v>
      </c>
      <c r="I28" s="5">
        <v>44682</v>
      </c>
      <c r="J28" s="6">
        <v>100</v>
      </c>
      <c r="K28" s="54">
        <v>100</v>
      </c>
      <c r="L28" s="6">
        <v>0</v>
      </c>
      <c r="M28" s="53">
        <v>0</v>
      </c>
      <c r="N28" s="6">
        <v>0</v>
      </c>
      <c r="O28" s="53">
        <v>0</v>
      </c>
      <c r="P28" s="6">
        <v>1</v>
      </c>
      <c r="Q28" s="4" t="s">
        <v>26</v>
      </c>
      <c r="R28" s="4">
        <v>0</v>
      </c>
      <c r="S28" s="4">
        <v>27</v>
      </c>
      <c r="T28" s="4">
        <v>0</v>
      </c>
      <c r="U28" s="4">
        <v>0</v>
      </c>
      <c r="V28" s="53">
        <f>IF(ISERROR(VLOOKUP($S$28,'TAR FIN'!$A$1:$O$85,15,0)),0,VLOOKUP($S$28,'TAR FIN'!$A$1:$O$85,15,0))*(1-0.06)</f>
        <v>38.680999999999997</v>
      </c>
      <c r="W28" s="53">
        <f>IF(ISERROR(VLOOKUP($T$28,'TAR FIN'!$A$1:$O$85,15,0)),0,VLOOKUP($T$28,'TAR FIN'!$A$1:$O$85,15,0))</f>
        <v>0</v>
      </c>
      <c r="X28" s="53">
        <f>IF(ISERROR(VLOOKUP($U$28,'TAR FIN'!$A$1:$O$85,15,0)),0,VLOOKUP($U$28,'TAR FIN'!$A$1:$O$85,15,0))</f>
        <v>0</v>
      </c>
      <c r="Y28" s="53">
        <f ca="1">('TUSD BE'!$AM$10+'TUSD BF'!$AM$10+'TUSD CVA'!$AM$10)*1*(1-0.03)</f>
        <v>40.203324927971032</v>
      </c>
      <c r="Z28" s="53"/>
      <c r="AA28" s="53"/>
      <c r="AB28" s="53">
        <f>(SUBSIDIO!$J$28*SUBSIDIO!$V$28)*(0.06)/(1-0.06)</f>
        <v>246.9</v>
      </c>
      <c r="AC28" s="53">
        <f>((SUBSIDIO!$L$28*SUBSIDIO!$W$28)+(SUBSIDIO!$N$28*SUBSIDIO!$X$28))*(0.06)/(1-0.06)</f>
        <v>0</v>
      </c>
      <c r="AD28" s="53">
        <f ca="1">(SUBSIDIO!$J$28*SUBSIDIO!$Y$28)*(0.03)/(1-0.03)</f>
        <v>124.34018018960113</v>
      </c>
      <c r="AE28" s="53">
        <f>((SUBSIDIO!$L$28*SUBSIDIO!$Z$28)+(SUBSIDIO!$N$28*SUBSIDIO!$AA$28))*(0.03)/(1-0.03)</f>
        <v>0</v>
      </c>
      <c r="AF28" s="4" t="s">
        <v>624</v>
      </c>
    </row>
    <row r="29" spans="1:32" ht="11.25" customHeight="1" x14ac:dyDescent="0.3">
      <c r="A29" s="4" t="s">
        <v>21</v>
      </c>
      <c r="B29" s="4" t="s">
        <v>35</v>
      </c>
      <c r="C29" s="4" t="s">
        <v>36</v>
      </c>
      <c r="D29" s="4" t="s">
        <v>48</v>
      </c>
      <c r="E29" s="4" t="s">
        <v>49</v>
      </c>
      <c r="F29" s="4" t="s">
        <v>25</v>
      </c>
      <c r="G29" s="4" t="s">
        <v>25</v>
      </c>
      <c r="H29" s="4" t="s">
        <v>25</v>
      </c>
      <c r="I29" s="5">
        <v>44713</v>
      </c>
      <c r="J29" s="6">
        <v>100</v>
      </c>
      <c r="K29" s="54">
        <v>100</v>
      </c>
      <c r="L29" s="6">
        <v>0</v>
      </c>
      <c r="M29" s="53">
        <v>0</v>
      </c>
      <c r="N29" s="6">
        <v>0</v>
      </c>
      <c r="O29" s="53">
        <v>0</v>
      </c>
      <c r="P29" s="6">
        <v>1</v>
      </c>
      <c r="Q29" s="4" t="s">
        <v>26</v>
      </c>
      <c r="R29" s="4">
        <v>0</v>
      </c>
      <c r="S29" s="4">
        <v>27</v>
      </c>
      <c r="T29" s="4">
        <v>0</v>
      </c>
      <c r="U29" s="4">
        <v>0</v>
      </c>
      <c r="V29" s="53">
        <f>IF(ISERROR(VLOOKUP($S$29,'TAR FIN'!$A$1:$O$85,15,0)),0,VLOOKUP($S$29,'TAR FIN'!$A$1:$O$85,15,0))*(1-0.06)</f>
        <v>38.680999999999997</v>
      </c>
      <c r="W29" s="53">
        <f>IF(ISERROR(VLOOKUP($T$29,'TAR FIN'!$A$1:$O$85,15,0)),0,VLOOKUP($T$29,'TAR FIN'!$A$1:$O$85,15,0))</f>
        <v>0</v>
      </c>
      <c r="X29" s="53">
        <f>IF(ISERROR(VLOOKUP($U$29,'TAR FIN'!$A$1:$O$85,15,0)),0,VLOOKUP($U$29,'TAR FIN'!$A$1:$O$85,15,0))</f>
        <v>0</v>
      </c>
      <c r="Y29" s="53">
        <f ca="1">('TUSD BE'!$AM$10+'TUSD BF'!$AM$10+'TUSD CVA'!$AM$10)*1*(1-0.03)</f>
        <v>40.203324927971032</v>
      </c>
      <c r="Z29" s="53"/>
      <c r="AA29" s="53"/>
      <c r="AB29" s="53">
        <f>(SUBSIDIO!$J$29*SUBSIDIO!$V$29)*(0.06)/(1-0.06)</f>
        <v>246.9</v>
      </c>
      <c r="AC29" s="53">
        <f>((SUBSIDIO!$L$29*SUBSIDIO!$W$29)+(SUBSIDIO!$N$29*SUBSIDIO!$X$29))*(0.06)/(1-0.06)</f>
        <v>0</v>
      </c>
      <c r="AD29" s="53">
        <f ca="1">(SUBSIDIO!$J$29*SUBSIDIO!$Y$29)*(0.03)/(1-0.03)</f>
        <v>124.34018018960113</v>
      </c>
      <c r="AE29" s="53">
        <f>((SUBSIDIO!$L$29*SUBSIDIO!$Z$29)+(SUBSIDIO!$N$29*SUBSIDIO!$AA$29))*(0.03)/(1-0.03)</f>
        <v>0</v>
      </c>
      <c r="AF29" s="4" t="s">
        <v>624</v>
      </c>
    </row>
    <row r="30" spans="1:32" ht="11.25" customHeight="1" x14ac:dyDescent="0.3">
      <c r="A30" s="4" t="s">
        <v>21</v>
      </c>
      <c r="B30" s="4" t="s">
        <v>35</v>
      </c>
      <c r="C30" s="4" t="s">
        <v>36</v>
      </c>
      <c r="D30" s="4" t="s">
        <v>48</v>
      </c>
      <c r="E30" s="4" t="s">
        <v>49</v>
      </c>
      <c r="F30" s="4" t="s">
        <v>25</v>
      </c>
      <c r="G30" s="4" t="s">
        <v>25</v>
      </c>
      <c r="H30" s="4" t="s">
        <v>25</v>
      </c>
      <c r="I30" s="5">
        <v>44743</v>
      </c>
      <c r="J30" s="6">
        <v>100</v>
      </c>
      <c r="K30" s="54">
        <v>100</v>
      </c>
      <c r="L30" s="6">
        <v>0</v>
      </c>
      <c r="M30" s="53">
        <v>0</v>
      </c>
      <c r="N30" s="6">
        <v>0</v>
      </c>
      <c r="O30" s="53">
        <v>0</v>
      </c>
      <c r="P30" s="6">
        <v>1</v>
      </c>
      <c r="Q30" s="4" t="s">
        <v>26</v>
      </c>
      <c r="R30" s="4">
        <v>0</v>
      </c>
      <c r="S30" s="4">
        <v>27</v>
      </c>
      <c r="T30" s="4">
        <v>0</v>
      </c>
      <c r="U30" s="4">
        <v>0</v>
      </c>
      <c r="V30" s="53">
        <f>IF(ISERROR(VLOOKUP($S$30,'TAR FIN'!$A$1:$O$85,15,0)),0,VLOOKUP($S$30,'TAR FIN'!$A$1:$O$85,15,0))*(1-0.06)</f>
        <v>38.680999999999997</v>
      </c>
      <c r="W30" s="53">
        <f>IF(ISERROR(VLOOKUP($T$30,'TAR FIN'!$A$1:$O$85,15,0)),0,VLOOKUP($T$30,'TAR FIN'!$A$1:$O$85,15,0))</f>
        <v>0</v>
      </c>
      <c r="X30" s="53">
        <f>IF(ISERROR(VLOOKUP($U$30,'TAR FIN'!$A$1:$O$85,15,0)),0,VLOOKUP($U$30,'TAR FIN'!$A$1:$O$85,15,0))</f>
        <v>0</v>
      </c>
      <c r="Y30" s="53">
        <f ca="1">('TUSD BE'!$AM$10+'TUSD BF'!$AM$10+'TUSD CVA'!$AM$10)*1*(1-0.03)</f>
        <v>40.203324927971032</v>
      </c>
      <c r="Z30" s="53"/>
      <c r="AA30" s="53"/>
      <c r="AB30" s="53">
        <f>(SUBSIDIO!$J$30*SUBSIDIO!$V$30)*(0.06)/(1-0.06)</f>
        <v>246.9</v>
      </c>
      <c r="AC30" s="53">
        <f>((SUBSIDIO!$L$30*SUBSIDIO!$W$30)+(SUBSIDIO!$N$30*SUBSIDIO!$X$30))*(0.06)/(1-0.06)</f>
        <v>0</v>
      </c>
      <c r="AD30" s="53">
        <f ca="1">(SUBSIDIO!$J$30*SUBSIDIO!$Y$30)*(0.03)/(1-0.03)</f>
        <v>124.34018018960113</v>
      </c>
      <c r="AE30" s="53">
        <f>((SUBSIDIO!$L$30*SUBSIDIO!$Z$30)+(SUBSIDIO!$N$30*SUBSIDIO!$AA$30))*(0.03)/(1-0.03)</f>
        <v>0</v>
      </c>
      <c r="AF30" s="4" t="s">
        <v>624</v>
      </c>
    </row>
    <row r="31" spans="1:32" ht="11.25" customHeight="1" x14ac:dyDescent="0.3">
      <c r="A31" s="4" t="s">
        <v>52</v>
      </c>
      <c r="B31" s="4" t="s">
        <v>35</v>
      </c>
      <c r="C31" s="4" t="s">
        <v>36</v>
      </c>
      <c r="D31" s="4" t="s">
        <v>48</v>
      </c>
      <c r="E31" s="4" t="s">
        <v>49</v>
      </c>
      <c r="F31" s="4" t="s">
        <v>25</v>
      </c>
      <c r="G31" s="4" t="s">
        <v>25</v>
      </c>
      <c r="H31" s="4" t="s">
        <v>25</v>
      </c>
      <c r="I31" s="5">
        <v>44774</v>
      </c>
      <c r="J31" s="6">
        <v>100</v>
      </c>
      <c r="K31" s="54">
        <v>100</v>
      </c>
      <c r="L31" s="6">
        <v>0</v>
      </c>
      <c r="M31" s="53">
        <v>0</v>
      </c>
      <c r="N31" s="6">
        <v>0</v>
      </c>
      <c r="O31" s="53">
        <v>0</v>
      </c>
      <c r="P31" s="6">
        <v>1</v>
      </c>
      <c r="Q31" s="4" t="s">
        <v>26</v>
      </c>
      <c r="R31" s="4">
        <v>0</v>
      </c>
      <c r="S31" s="4">
        <v>27</v>
      </c>
      <c r="T31" s="4">
        <v>0</v>
      </c>
      <c r="U31" s="4">
        <v>0</v>
      </c>
      <c r="V31" s="53">
        <f>IF(ISERROR(VLOOKUP($S$31,'TAR FIN'!$A$1:$O$85,15,0)),0,VLOOKUP($S$31,'TAR FIN'!$A$1:$O$85,15,0))*(1-0.06)</f>
        <v>38.680999999999997</v>
      </c>
      <c r="W31" s="53">
        <f>IF(ISERROR(VLOOKUP($T$31,'TAR FIN'!$A$1:$O$85,15,0)),0,VLOOKUP($T$31,'TAR FIN'!$A$1:$O$85,15,0))</f>
        <v>0</v>
      </c>
      <c r="X31" s="53">
        <f>IF(ISERROR(VLOOKUP($U$31,'TAR FIN'!$A$1:$O$85,15,0)),0,VLOOKUP($U$31,'TAR FIN'!$A$1:$O$85,15,0))</f>
        <v>0</v>
      </c>
      <c r="Y31" s="53">
        <f ca="1">('TUSD BE'!$AM$10+'TUSD BF'!$AM$10+'TUSD CVA'!$AM$10)*1*(1-0.03)</f>
        <v>40.203324927971032</v>
      </c>
      <c r="Z31" s="53"/>
      <c r="AA31" s="53"/>
      <c r="AB31" s="53">
        <f>(SUBSIDIO!$J$31*SUBSIDIO!$V$31)*(0.06)/(1-0.06)</f>
        <v>246.9</v>
      </c>
      <c r="AC31" s="53">
        <f>((SUBSIDIO!$L$31*SUBSIDIO!$W$31)+(SUBSIDIO!$N$31*SUBSIDIO!$X$31))*(0.06)/(1-0.06)</f>
        <v>0</v>
      </c>
      <c r="AD31" s="53">
        <f ca="1">(SUBSIDIO!$J$31*SUBSIDIO!$Y$31)*(0.03)/(1-0.03)</f>
        <v>124.34018018960113</v>
      </c>
      <c r="AE31" s="53">
        <f>((SUBSIDIO!$L$31*SUBSIDIO!$Z$31)+(SUBSIDIO!$N$31*SUBSIDIO!$AA$31))*(0.03)/(1-0.03)</f>
        <v>0</v>
      </c>
      <c r="AF31" s="4" t="s">
        <v>624</v>
      </c>
    </row>
    <row r="32" spans="1:32" ht="11.25" customHeight="1" x14ac:dyDescent="0.3">
      <c r="A32" s="4" t="s">
        <v>21</v>
      </c>
      <c r="B32" s="4" t="s">
        <v>35</v>
      </c>
      <c r="C32" s="4" t="s">
        <v>36</v>
      </c>
      <c r="D32" s="4" t="s">
        <v>48</v>
      </c>
      <c r="E32" s="4" t="s">
        <v>49</v>
      </c>
      <c r="F32" s="4" t="s">
        <v>25</v>
      </c>
      <c r="G32" s="4" t="s">
        <v>25</v>
      </c>
      <c r="H32" s="4" t="s">
        <v>37</v>
      </c>
      <c r="I32" s="5">
        <v>44501</v>
      </c>
      <c r="J32" s="6">
        <v>0</v>
      </c>
      <c r="K32" s="53">
        <v>0</v>
      </c>
      <c r="L32" s="6">
        <v>4.5609999999999999</v>
      </c>
      <c r="M32" s="53">
        <v>4.5609999999999999</v>
      </c>
      <c r="N32" s="6">
        <v>4.5609999999999999</v>
      </c>
      <c r="O32" s="53">
        <v>4.5609999999999999</v>
      </c>
      <c r="P32" s="6">
        <v>0</v>
      </c>
      <c r="Q32" s="4" t="s">
        <v>26</v>
      </c>
      <c r="R32" s="4">
        <v>0</v>
      </c>
      <c r="S32" s="4">
        <v>0</v>
      </c>
      <c r="T32" s="4">
        <v>32</v>
      </c>
      <c r="U32" s="4">
        <v>34</v>
      </c>
      <c r="V32" s="53">
        <f>IF(ISERROR(VLOOKUP($S$32,'TAR FIN'!$A$1:$O$85,15,0)),0,VLOOKUP($S$32,'TAR FIN'!$A$1:$O$85,15,0))</f>
        <v>0</v>
      </c>
      <c r="W32" s="53">
        <f>IF(ISERROR(VLOOKUP($T$32,'TAR FIN'!$A$1:$O$85,15,0)),0,VLOOKUP($T$32,'TAR FIN'!$A$1:$O$85,15,0))*(1-0.06)</f>
        <v>2688.2496000000001</v>
      </c>
      <c r="X32" s="53">
        <f>IF(ISERROR(VLOOKUP($U$32,'TAR FIN'!$A$1:$O$85,15,0)),0,VLOOKUP($U$32,'TAR FIN'!$A$1:$O$85,15,0))*(1-0.06)</f>
        <v>112.7718</v>
      </c>
      <c r="Y32" s="53"/>
      <c r="Z32" s="53">
        <f ca="1">('TUSD BE'!$AM$11+'TUSD BF'!$AM$11+'TUSD CVA'!$AM$11)*1*(1-0.03)</f>
        <v>2838.5298865954551</v>
      </c>
      <c r="AA32" s="53">
        <f>('TE BE'!$AB$5+'TE BF'!$AB$5+'TE CVA'!$AB$5)*1*(1-0.03)</f>
        <v>118.90878875575021</v>
      </c>
      <c r="AB32" s="53">
        <f>(SUBSIDIO!$J$32*SUBSIDIO!$V$32)*(0.06)/(1-0.06)</f>
        <v>0</v>
      </c>
      <c r="AC32" s="53">
        <f>((SUBSIDIO!$L$32*SUBSIDIO!$W$32)+(SUBSIDIO!$N$32*SUBSIDIO!$X$32))*(0.06)/(1-0.06)</f>
        <v>815.4548046000001</v>
      </c>
      <c r="AD32" s="53">
        <f>(SUBSIDIO!$J$32*SUBSIDIO!$Y$32)*(0.03)/(1-0.03)</f>
        <v>0</v>
      </c>
      <c r="AE32" s="53">
        <f ca="1">((SUBSIDIO!$L$32*SUBSIDIO!$Z$32)+(SUBSIDIO!$N$32*SUBSIDIO!$AA$32))*(0.03)/(1-0.03)</f>
        <v>417.18178757557257</v>
      </c>
      <c r="AF32" s="4" t="s">
        <v>624</v>
      </c>
    </row>
    <row r="33" spans="1:32" ht="11.25" customHeight="1" x14ac:dyDescent="0.3">
      <c r="A33" s="4" t="s">
        <v>21</v>
      </c>
      <c r="B33" s="4" t="s">
        <v>35</v>
      </c>
      <c r="C33" s="4" t="s">
        <v>36</v>
      </c>
      <c r="D33" s="4" t="s">
        <v>48</v>
      </c>
      <c r="E33" s="4" t="s">
        <v>49</v>
      </c>
      <c r="F33" s="4" t="s">
        <v>25</v>
      </c>
      <c r="G33" s="4" t="s">
        <v>25</v>
      </c>
      <c r="H33" s="4" t="s">
        <v>37</v>
      </c>
      <c r="I33" s="5">
        <v>44531</v>
      </c>
      <c r="J33" s="6">
        <v>0</v>
      </c>
      <c r="K33" s="53">
        <v>0</v>
      </c>
      <c r="L33" s="6">
        <v>5.7910000000000004</v>
      </c>
      <c r="M33" s="53">
        <v>5.7910000000000004</v>
      </c>
      <c r="N33" s="6">
        <v>5.7910000000000004</v>
      </c>
      <c r="O33" s="53">
        <v>5.7910000000000004</v>
      </c>
      <c r="P33" s="6">
        <v>0</v>
      </c>
      <c r="Q33" s="4" t="s">
        <v>26</v>
      </c>
      <c r="R33" s="4">
        <v>0</v>
      </c>
      <c r="S33" s="4">
        <v>0</v>
      </c>
      <c r="T33" s="4">
        <v>32</v>
      </c>
      <c r="U33" s="4">
        <v>34</v>
      </c>
      <c r="V33" s="53">
        <f>IF(ISERROR(VLOOKUP($S$33,'TAR FIN'!$A$1:$O$85,15,0)),0,VLOOKUP($S$33,'TAR FIN'!$A$1:$O$85,15,0))</f>
        <v>0</v>
      </c>
      <c r="W33" s="53">
        <f>IF(ISERROR(VLOOKUP($T$33,'TAR FIN'!$A$1:$O$85,15,0)),0,VLOOKUP($T$33,'TAR FIN'!$A$1:$O$85,15,0))*(1-0.06)</f>
        <v>2688.2496000000001</v>
      </c>
      <c r="X33" s="53">
        <f>IF(ISERROR(VLOOKUP($U$33,'TAR FIN'!$A$1:$O$85,15,0)),0,VLOOKUP($U$33,'TAR FIN'!$A$1:$O$85,15,0))*(1-0.06)</f>
        <v>112.7718</v>
      </c>
      <c r="Y33" s="53"/>
      <c r="Z33" s="53">
        <f ca="1">('TUSD BE'!$AM$11+'TUSD BF'!$AM$11+'TUSD CVA'!$AM$11)*1*(1-0.03)</f>
        <v>2838.5298865954551</v>
      </c>
      <c r="AA33" s="53">
        <f>('TE BE'!$AB$5+'TE BF'!$AB$5+'TE CVA'!$AB$5)*1*(1-0.03)</f>
        <v>118.90878875575021</v>
      </c>
      <c r="AB33" s="53">
        <f>(SUBSIDIO!$J$33*SUBSIDIO!$V$33)*(0.06)/(1-0.06)</f>
        <v>0</v>
      </c>
      <c r="AC33" s="53">
        <f>((SUBSIDIO!$L$33*SUBSIDIO!$W$33)+(SUBSIDIO!$N$33*SUBSIDIO!$X$33))*(0.06)/(1-0.06)</f>
        <v>1035.3647826000001</v>
      </c>
      <c r="AD33" s="53">
        <f>(SUBSIDIO!$J$33*SUBSIDIO!$Y$33)*(0.03)/(1-0.03)</f>
        <v>0</v>
      </c>
      <c r="AE33" s="53">
        <f ca="1">((SUBSIDIO!$L$33*SUBSIDIO!$Z$33)+(SUBSIDIO!$N$33*SUBSIDIO!$AA$33))*(0.03)/(1-0.03)</f>
        <v>529.68641347295352</v>
      </c>
      <c r="AF33" s="4" t="s">
        <v>624</v>
      </c>
    </row>
    <row r="34" spans="1:32" ht="11.25" customHeight="1" x14ac:dyDescent="0.3">
      <c r="A34" s="4" t="s">
        <v>21</v>
      </c>
      <c r="B34" s="4" t="s">
        <v>35</v>
      </c>
      <c r="C34" s="4" t="s">
        <v>36</v>
      </c>
      <c r="D34" s="4" t="s">
        <v>48</v>
      </c>
      <c r="E34" s="4" t="s">
        <v>49</v>
      </c>
      <c r="F34" s="4" t="s">
        <v>25</v>
      </c>
      <c r="G34" s="4" t="s">
        <v>25</v>
      </c>
      <c r="H34" s="4" t="s">
        <v>37</v>
      </c>
      <c r="I34" s="5">
        <v>44562</v>
      </c>
      <c r="J34" s="6">
        <v>0</v>
      </c>
      <c r="K34" s="53">
        <v>0</v>
      </c>
      <c r="L34" s="6">
        <v>5.6879999999999997</v>
      </c>
      <c r="M34" s="53">
        <v>5.6879999999999997</v>
      </c>
      <c r="N34" s="6">
        <v>5.6879999999999997</v>
      </c>
      <c r="O34" s="53">
        <v>5.6879999999999997</v>
      </c>
      <c r="P34" s="6">
        <v>0</v>
      </c>
      <c r="Q34" s="4" t="s">
        <v>26</v>
      </c>
      <c r="R34" s="4">
        <v>0</v>
      </c>
      <c r="S34" s="4">
        <v>0</v>
      </c>
      <c r="T34" s="4">
        <v>32</v>
      </c>
      <c r="U34" s="4">
        <v>34</v>
      </c>
      <c r="V34" s="53">
        <f>IF(ISERROR(VLOOKUP($S$34,'TAR FIN'!$A$1:$O$85,15,0)),0,VLOOKUP($S$34,'TAR FIN'!$A$1:$O$85,15,0))</f>
        <v>0</v>
      </c>
      <c r="W34" s="53">
        <f>IF(ISERROR(VLOOKUP($T$34,'TAR FIN'!$A$1:$O$85,15,0)),0,VLOOKUP($T$34,'TAR FIN'!$A$1:$O$85,15,0))*(1-0.06)</f>
        <v>2688.2496000000001</v>
      </c>
      <c r="X34" s="53">
        <f>IF(ISERROR(VLOOKUP($U$34,'TAR FIN'!$A$1:$O$85,15,0)),0,VLOOKUP($U$34,'TAR FIN'!$A$1:$O$85,15,0))*(1-0.06)</f>
        <v>112.7718</v>
      </c>
      <c r="Y34" s="53"/>
      <c r="Z34" s="53">
        <f ca="1">('TUSD BE'!$AM$11+'TUSD BF'!$AM$11+'TUSD CVA'!$AM$11)*1*(1-0.03)</f>
        <v>2838.5298865954551</v>
      </c>
      <c r="AA34" s="53">
        <f>('TE BE'!$AB$5+'TE BF'!$AB$5+'TE CVA'!$AB$5)*1*(1-0.03)</f>
        <v>118.90878875575021</v>
      </c>
      <c r="AB34" s="53">
        <f>(SUBSIDIO!$J$34*SUBSIDIO!$V$34)*(0.06)/(1-0.06)</f>
        <v>0</v>
      </c>
      <c r="AC34" s="53">
        <f>((SUBSIDIO!$L$34*SUBSIDIO!$W$34)+(SUBSIDIO!$N$34*SUBSIDIO!$X$34))*(0.06)/(1-0.06)</f>
        <v>1016.9495568</v>
      </c>
      <c r="AD34" s="53">
        <f>(SUBSIDIO!$J$34*SUBSIDIO!$Y$34)*(0.03)/(1-0.03)</f>
        <v>0</v>
      </c>
      <c r="AE34" s="53">
        <f ca="1">((SUBSIDIO!$L$34*SUBSIDIO!$Z$34)+(SUBSIDIO!$N$34*SUBSIDIO!$AA$34))*(0.03)/(1-0.03)</f>
        <v>520.2652943937419</v>
      </c>
      <c r="AF34" s="4" t="s">
        <v>624</v>
      </c>
    </row>
    <row r="35" spans="1:32" ht="11.25" customHeight="1" x14ac:dyDescent="0.3">
      <c r="A35" s="4" t="s">
        <v>21</v>
      </c>
      <c r="B35" s="4" t="s">
        <v>35</v>
      </c>
      <c r="C35" s="4" t="s">
        <v>36</v>
      </c>
      <c r="D35" s="4" t="s">
        <v>48</v>
      </c>
      <c r="E35" s="4" t="s">
        <v>49</v>
      </c>
      <c r="F35" s="4" t="s">
        <v>25</v>
      </c>
      <c r="G35" s="4" t="s">
        <v>25</v>
      </c>
      <c r="H35" s="4" t="s">
        <v>37</v>
      </c>
      <c r="I35" s="5">
        <v>44593</v>
      </c>
      <c r="J35" s="6">
        <v>0</v>
      </c>
      <c r="K35" s="53">
        <v>0</v>
      </c>
      <c r="L35" s="6">
        <v>3.3929999999999998</v>
      </c>
      <c r="M35" s="53">
        <v>3.3929999999999998</v>
      </c>
      <c r="N35" s="6">
        <v>3.3929999999999998</v>
      </c>
      <c r="O35" s="53">
        <v>3.3929999999999998</v>
      </c>
      <c r="P35" s="6">
        <v>0</v>
      </c>
      <c r="Q35" s="4" t="s">
        <v>26</v>
      </c>
      <c r="R35" s="4">
        <v>0</v>
      </c>
      <c r="S35" s="4">
        <v>0</v>
      </c>
      <c r="T35" s="4">
        <v>32</v>
      </c>
      <c r="U35" s="4">
        <v>34</v>
      </c>
      <c r="V35" s="53">
        <f>IF(ISERROR(VLOOKUP($S$35,'TAR FIN'!$A$1:$O$85,15,0)),0,VLOOKUP($S$35,'TAR FIN'!$A$1:$O$85,15,0))</f>
        <v>0</v>
      </c>
      <c r="W35" s="53">
        <f>IF(ISERROR(VLOOKUP($T$35,'TAR FIN'!$A$1:$O$85,15,0)),0,VLOOKUP($T$35,'TAR FIN'!$A$1:$O$85,15,0))*(1-0.06)</f>
        <v>2688.2496000000001</v>
      </c>
      <c r="X35" s="53">
        <f>IF(ISERROR(VLOOKUP($U$35,'TAR FIN'!$A$1:$O$85,15,0)),0,VLOOKUP($U$35,'TAR FIN'!$A$1:$O$85,15,0))*(1-0.06)</f>
        <v>112.7718</v>
      </c>
      <c r="Y35" s="53"/>
      <c r="Z35" s="53">
        <f ca="1">('TUSD BE'!$AM$11+'TUSD BF'!$AM$11+'TUSD CVA'!$AM$11)*1*(1-0.03)</f>
        <v>2838.5298865954551</v>
      </c>
      <c r="AA35" s="53">
        <f>('TE BE'!$AB$5+'TE BF'!$AB$5+'TE CVA'!$AB$5)*1*(1-0.03)</f>
        <v>118.90878875575021</v>
      </c>
      <c r="AB35" s="53">
        <f>(SUBSIDIO!$J$35*SUBSIDIO!$V$35)*(0.06)/(1-0.06)</f>
        <v>0</v>
      </c>
      <c r="AC35" s="53">
        <f>((SUBSIDIO!$L$35*SUBSIDIO!$W$35)+(SUBSIDIO!$N$35*SUBSIDIO!$X$35))*(0.06)/(1-0.06)</f>
        <v>606.62971980000009</v>
      </c>
      <c r="AD35" s="53">
        <f>(SUBSIDIO!$J$35*SUBSIDIO!$Y$35)*(0.03)/(1-0.03)</f>
        <v>0</v>
      </c>
      <c r="AE35" s="53">
        <f ca="1">((SUBSIDIO!$L$35*SUBSIDIO!$Z$35)+(SUBSIDIO!$N$35*SUBSIDIO!$AA$35))*(0.03)/(1-0.03)</f>
        <v>310.34812656082391</v>
      </c>
      <c r="AF35" s="4" t="s">
        <v>624</v>
      </c>
    </row>
    <row r="36" spans="1:32" ht="11.25" customHeight="1" x14ac:dyDescent="0.3">
      <c r="A36" s="4" t="s">
        <v>21</v>
      </c>
      <c r="B36" s="4" t="s">
        <v>35</v>
      </c>
      <c r="C36" s="4" t="s">
        <v>36</v>
      </c>
      <c r="D36" s="4" t="s">
        <v>48</v>
      </c>
      <c r="E36" s="4" t="s">
        <v>49</v>
      </c>
      <c r="F36" s="4" t="s">
        <v>25</v>
      </c>
      <c r="G36" s="4" t="s">
        <v>25</v>
      </c>
      <c r="H36" s="4" t="s">
        <v>37</v>
      </c>
      <c r="I36" s="5">
        <v>44621</v>
      </c>
      <c r="J36" s="6">
        <v>0</v>
      </c>
      <c r="K36" s="53">
        <v>0</v>
      </c>
      <c r="L36" s="6">
        <v>3.51</v>
      </c>
      <c r="M36" s="53">
        <v>3.51</v>
      </c>
      <c r="N36" s="6">
        <v>3.51</v>
      </c>
      <c r="O36" s="53">
        <v>3.51</v>
      </c>
      <c r="P36" s="6">
        <v>0</v>
      </c>
      <c r="Q36" s="4" t="s">
        <v>26</v>
      </c>
      <c r="R36" s="4">
        <v>0</v>
      </c>
      <c r="S36" s="4">
        <v>0</v>
      </c>
      <c r="T36" s="4">
        <v>32</v>
      </c>
      <c r="U36" s="4">
        <v>34</v>
      </c>
      <c r="V36" s="53">
        <f>IF(ISERROR(VLOOKUP($S$36,'TAR FIN'!$A$1:$O$85,15,0)),0,VLOOKUP($S$36,'TAR FIN'!$A$1:$O$85,15,0))</f>
        <v>0</v>
      </c>
      <c r="W36" s="53">
        <f>IF(ISERROR(VLOOKUP($T$36,'TAR FIN'!$A$1:$O$85,15,0)),0,VLOOKUP($T$36,'TAR FIN'!$A$1:$O$85,15,0))*(1-0.06)</f>
        <v>2688.2496000000001</v>
      </c>
      <c r="X36" s="53">
        <f>IF(ISERROR(VLOOKUP($U$36,'TAR FIN'!$A$1:$O$85,15,0)),0,VLOOKUP($U$36,'TAR FIN'!$A$1:$O$85,15,0))*(1-0.06)</f>
        <v>112.7718</v>
      </c>
      <c r="Y36" s="53"/>
      <c r="Z36" s="53">
        <f ca="1">('TUSD BE'!$AM$11+'TUSD BF'!$AM$11+'TUSD CVA'!$AM$11)*1*(1-0.03)</f>
        <v>2838.5298865954551</v>
      </c>
      <c r="AA36" s="53">
        <f>('TE BE'!$AB$5+'TE BF'!$AB$5+'TE CVA'!$AB$5)*1*(1-0.03)</f>
        <v>118.90878875575021</v>
      </c>
      <c r="AB36" s="53">
        <f>(SUBSIDIO!$J$36*SUBSIDIO!$V$36)*(0.06)/(1-0.06)</f>
        <v>0</v>
      </c>
      <c r="AC36" s="53">
        <f>((SUBSIDIO!$L$36*SUBSIDIO!$W$36)+(SUBSIDIO!$N$36*SUBSIDIO!$X$36))*(0.06)/(1-0.06)</f>
        <v>627.54798599999992</v>
      </c>
      <c r="AD36" s="53">
        <f>(SUBSIDIO!$J$36*SUBSIDIO!$Y$36)*(0.03)/(1-0.03)</f>
        <v>0</v>
      </c>
      <c r="AE36" s="53">
        <f ca="1">((SUBSIDIO!$L$36*SUBSIDIO!$Z$36)+(SUBSIDIO!$N$36*SUBSIDIO!$AA$36))*(0.03)/(1-0.03)</f>
        <v>321.04978609740402</v>
      </c>
      <c r="AF36" s="4" t="s">
        <v>624</v>
      </c>
    </row>
    <row r="37" spans="1:32" ht="11.25" customHeight="1" x14ac:dyDescent="0.3">
      <c r="A37" s="4" t="s">
        <v>21</v>
      </c>
      <c r="B37" s="4" t="s">
        <v>35</v>
      </c>
      <c r="C37" s="4" t="s">
        <v>36</v>
      </c>
      <c r="D37" s="4" t="s">
        <v>48</v>
      </c>
      <c r="E37" s="4" t="s">
        <v>49</v>
      </c>
      <c r="F37" s="4" t="s">
        <v>25</v>
      </c>
      <c r="G37" s="4" t="s">
        <v>25</v>
      </c>
      <c r="H37" s="4" t="s">
        <v>37</v>
      </c>
      <c r="I37" s="5">
        <v>44652</v>
      </c>
      <c r="J37" s="6">
        <v>0</v>
      </c>
      <c r="K37" s="53">
        <v>0</v>
      </c>
      <c r="L37" s="6">
        <v>3.347</v>
      </c>
      <c r="M37" s="53">
        <v>3.347</v>
      </c>
      <c r="N37" s="6">
        <v>3.347</v>
      </c>
      <c r="O37" s="53">
        <v>3.347</v>
      </c>
      <c r="P37" s="6">
        <v>0</v>
      </c>
      <c r="Q37" s="4" t="s">
        <v>26</v>
      </c>
      <c r="R37" s="4">
        <v>0</v>
      </c>
      <c r="S37" s="4">
        <v>0</v>
      </c>
      <c r="T37" s="4">
        <v>32</v>
      </c>
      <c r="U37" s="4">
        <v>34</v>
      </c>
      <c r="V37" s="53">
        <f>IF(ISERROR(VLOOKUP($S$37,'TAR FIN'!$A$1:$O$85,15,0)),0,VLOOKUP($S$37,'TAR FIN'!$A$1:$O$85,15,0))</f>
        <v>0</v>
      </c>
      <c r="W37" s="53">
        <f>IF(ISERROR(VLOOKUP($T$37,'TAR FIN'!$A$1:$O$85,15,0)),0,VLOOKUP($T$37,'TAR FIN'!$A$1:$O$85,15,0))*(1-0.06)</f>
        <v>2688.2496000000001</v>
      </c>
      <c r="X37" s="53">
        <f>IF(ISERROR(VLOOKUP($U$37,'TAR FIN'!$A$1:$O$85,15,0)),0,VLOOKUP($U$37,'TAR FIN'!$A$1:$O$85,15,0))*(1-0.06)</f>
        <v>112.7718</v>
      </c>
      <c r="Y37" s="53"/>
      <c r="Z37" s="53">
        <f ca="1">('TUSD BE'!$AM$11+'TUSD BF'!$AM$11+'TUSD CVA'!$AM$11)*1*(1-0.03)</f>
        <v>2838.5298865954551</v>
      </c>
      <c r="AA37" s="53">
        <f>('TE BE'!$AB$5+'TE BF'!$AB$5+'TE CVA'!$AB$5)*1*(1-0.03)</f>
        <v>118.90878875575021</v>
      </c>
      <c r="AB37" s="53">
        <f>(SUBSIDIO!$J$37*SUBSIDIO!$V$37)*(0.06)/(1-0.06)</f>
        <v>0</v>
      </c>
      <c r="AC37" s="53">
        <f>((SUBSIDIO!$L$37*SUBSIDIO!$W$37)+(SUBSIDIO!$N$37*SUBSIDIO!$X$37))*(0.06)/(1-0.06)</f>
        <v>598.40544420000003</v>
      </c>
      <c r="AD37" s="53">
        <f>(SUBSIDIO!$J$37*SUBSIDIO!$Y$37)*(0.03)/(1-0.03)</f>
        <v>0</v>
      </c>
      <c r="AE37" s="53">
        <f ca="1">((SUBSIDIO!$L$37*SUBSIDIO!$Z$37)+(SUBSIDIO!$N$37*SUBSIDIO!$AA$37))*(0.03)/(1-0.03)</f>
        <v>306.14063648661289</v>
      </c>
      <c r="AF37" s="4" t="s">
        <v>624</v>
      </c>
    </row>
    <row r="38" spans="1:32" ht="11.25" customHeight="1" x14ac:dyDescent="0.3">
      <c r="A38" s="4" t="s">
        <v>21</v>
      </c>
      <c r="B38" s="4" t="s">
        <v>35</v>
      </c>
      <c r="C38" s="4" t="s">
        <v>36</v>
      </c>
      <c r="D38" s="4" t="s">
        <v>48</v>
      </c>
      <c r="E38" s="4" t="s">
        <v>49</v>
      </c>
      <c r="F38" s="4" t="s">
        <v>25</v>
      </c>
      <c r="G38" s="4" t="s">
        <v>25</v>
      </c>
      <c r="H38" s="4" t="s">
        <v>37</v>
      </c>
      <c r="I38" s="5">
        <v>44682</v>
      </c>
      <c r="J38" s="6">
        <v>0</v>
      </c>
      <c r="K38" s="53">
        <v>0</v>
      </c>
      <c r="L38" s="6">
        <v>4.077</v>
      </c>
      <c r="M38" s="53">
        <v>4.077</v>
      </c>
      <c r="N38" s="6">
        <v>4.077</v>
      </c>
      <c r="O38" s="53">
        <v>4.077</v>
      </c>
      <c r="P38" s="6">
        <v>0</v>
      </c>
      <c r="Q38" s="4" t="s">
        <v>26</v>
      </c>
      <c r="R38" s="4">
        <v>0</v>
      </c>
      <c r="S38" s="4">
        <v>0</v>
      </c>
      <c r="T38" s="4">
        <v>32</v>
      </c>
      <c r="U38" s="4">
        <v>34</v>
      </c>
      <c r="V38" s="53">
        <f>IF(ISERROR(VLOOKUP($S$38,'TAR FIN'!$A$1:$O$85,15,0)),0,VLOOKUP($S$38,'TAR FIN'!$A$1:$O$85,15,0))</f>
        <v>0</v>
      </c>
      <c r="W38" s="53">
        <f>IF(ISERROR(VLOOKUP($T$38,'TAR FIN'!$A$1:$O$85,15,0)),0,VLOOKUP($T$38,'TAR FIN'!$A$1:$O$85,15,0))*(1-0.06)</f>
        <v>2688.2496000000001</v>
      </c>
      <c r="X38" s="53">
        <f>IF(ISERROR(VLOOKUP($U$38,'TAR FIN'!$A$1:$O$85,15,0)),0,VLOOKUP($U$38,'TAR FIN'!$A$1:$O$85,15,0))*(1-0.06)</f>
        <v>112.7718</v>
      </c>
      <c r="Y38" s="53"/>
      <c r="Z38" s="53">
        <f ca="1">('TUSD BE'!$AM$11+'TUSD BF'!$AM$11+'TUSD CVA'!$AM$11)*1*(1-0.03)</f>
        <v>2838.5298865954551</v>
      </c>
      <c r="AA38" s="53">
        <f>('TE BE'!$AB$5+'TE BF'!$AB$5+'TE CVA'!$AB$5)*1*(1-0.03)</f>
        <v>118.90878875575021</v>
      </c>
      <c r="AB38" s="53">
        <f>(SUBSIDIO!$J$38*SUBSIDIO!$V$38)*(0.06)/(1-0.06)</f>
        <v>0</v>
      </c>
      <c r="AC38" s="53">
        <f>((SUBSIDIO!$L$38*SUBSIDIO!$W$38)+(SUBSIDIO!$N$38*SUBSIDIO!$X$38))*(0.06)/(1-0.06)</f>
        <v>728.92112220000001</v>
      </c>
      <c r="AD38" s="53">
        <f>(SUBSIDIO!$J$38*SUBSIDIO!$Y$38)*(0.03)/(1-0.03)</f>
        <v>0</v>
      </c>
      <c r="AE38" s="53">
        <f ca="1">((SUBSIDIO!$L$38*SUBSIDIO!$Z$38)+(SUBSIDIO!$N$38*SUBSIDIO!$AA$38))*(0.03)/(1-0.03)</f>
        <v>372.91167462083092</v>
      </c>
      <c r="AF38" s="4" t="s">
        <v>624</v>
      </c>
    </row>
    <row r="39" spans="1:32" ht="11.25" customHeight="1" x14ac:dyDescent="0.3">
      <c r="A39" s="4" t="s">
        <v>21</v>
      </c>
      <c r="B39" s="4" t="s">
        <v>35</v>
      </c>
      <c r="C39" s="4" t="s">
        <v>36</v>
      </c>
      <c r="D39" s="4" t="s">
        <v>48</v>
      </c>
      <c r="E39" s="4" t="s">
        <v>49</v>
      </c>
      <c r="F39" s="4" t="s">
        <v>25</v>
      </c>
      <c r="G39" s="4" t="s">
        <v>25</v>
      </c>
      <c r="H39" s="4" t="s">
        <v>37</v>
      </c>
      <c r="I39" s="5">
        <v>44713</v>
      </c>
      <c r="J39" s="6">
        <v>0</v>
      </c>
      <c r="K39" s="53">
        <v>0</v>
      </c>
      <c r="L39" s="6">
        <v>3.8940000000000001</v>
      </c>
      <c r="M39" s="53">
        <v>3.8940000000000001</v>
      </c>
      <c r="N39" s="6">
        <v>3.8940000000000001</v>
      </c>
      <c r="O39" s="53">
        <v>3.8940000000000001</v>
      </c>
      <c r="P39" s="6">
        <v>0</v>
      </c>
      <c r="Q39" s="4" t="s">
        <v>26</v>
      </c>
      <c r="R39" s="4">
        <v>0</v>
      </c>
      <c r="S39" s="4">
        <v>0</v>
      </c>
      <c r="T39" s="4">
        <v>32</v>
      </c>
      <c r="U39" s="4">
        <v>34</v>
      </c>
      <c r="V39" s="53">
        <f>IF(ISERROR(VLOOKUP($S$39,'TAR FIN'!$A$1:$O$85,15,0)),0,VLOOKUP($S$39,'TAR FIN'!$A$1:$O$85,15,0))</f>
        <v>0</v>
      </c>
      <c r="W39" s="53">
        <f>IF(ISERROR(VLOOKUP($T$39,'TAR FIN'!$A$1:$O$85,15,0)),0,VLOOKUP($T$39,'TAR FIN'!$A$1:$O$85,15,0))*(1-0.06)</f>
        <v>2688.2496000000001</v>
      </c>
      <c r="X39" s="53">
        <f>IF(ISERROR(VLOOKUP($U$39,'TAR FIN'!$A$1:$O$85,15,0)),0,VLOOKUP($U$39,'TAR FIN'!$A$1:$O$85,15,0))*(1-0.06)</f>
        <v>112.7718</v>
      </c>
      <c r="Y39" s="53"/>
      <c r="Z39" s="53">
        <f ca="1">('TUSD BE'!$AM$11+'TUSD BF'!$AM$11+'TUSD CVA'!$AM$11)*1*(1-0.03)</f>
        <v>2838.5298865954551</v>
      </c>
      <c r="AA39" s="53">
        <f>('TE BE'!$AB$5+'TE BF'!$AB$5+'TE CVA'!$AB$5)*1*(1-0.03)</f>
        <v>118.90878875575021</v>
      </c>
      <c r="AB39" s="53">
        <f>(SUBSIDIO!$J$39*SUBSIDIO!$V$39)*(0.06)/(1-0.06)</f>
        <v>0</v>
      </c>
      <c r="AC39" s="53">
        <f>((SUBSIDIO!$L$39*SUBSIDIO!$W$39)+(SUBSIDIO!$N$39*SUBSIDIO!$X$39))*(0.06)/(1-0.06)</f>
        <v>696.20280840000021</v>
      </c>
      <c r="AD39" s="53">
        <f>(SUBSIDIO!$J$39*SUBSIDIO!$Y$39)*(0.03)/(1-0.03)</f>
        <v>0</v>
      </c>
      <c r="AE39" s="53">
        <f ca="1">((SUBSIDIO!$L$39*SUBSIDIO!$Z$39)+(SUBSIDIO!$N$39*SUBSIDIO!$AA$39))*(0.03)/(1-0.03)</f>
        <v>356.17318149951319</v>
      </c>
      <c r="AF39" s="4" t="s">
        <v>624</v>
      </c>
    </row>
    <row r="40" spans="1:32" ht="11.25" customHeight="1" x14ac:dyDescent="0.3">
      <c r="A40" s="4" t="s">
        <v>21</v>
      </c>
      <c r="B40" s="4" t="s">
        <v>35</v>
      </c>
      <c r="C40" s="4" t="s">
        <v>36</v>
      </c>
      <c r="D40" s="4" t="s">
        <v>48</v>
      </c>
      <c r="E40" s="4" t="s">
        <v>49</v>
      </c>
      <c r="F40" s="4" t="s">
        <v>25</v>
      </c>
      <c r="G40" s="4" t="s">
        <v>25</v>
      </c>
      <c r="H40" s="4" t="s">
        <v>37</v>
      </c>
      <c r="I40" s="5">
        <v>44743</v>
      </c>
      <c r="J40" s="6">
        <v>0</v>
      </c>
      <c r="K40" s="53">
        <v>0</v>
      </c>
      <c r="L40" s="6">
        <v>4.5410000000000004</v>
      </c>
      <c r="M40" s="53">
        <v>4.5410000000000004</v>
      </c>
      <c r="N40" s="6">
        <v>4.5410000000000004</v>
      </c>
      <c r="O40" s="53">
        <v>4.5410000000000004</v>
      </c>
      <c r="P40" s="6">
        <v>0</v>
      </c>
      <c r="Q40" s="4" t="s">
        <v>26</v>
      </c>
      <c r="R40" s="4">
        <v>0</v>
      </c>
      <c r="S40" s="4">
        <v>0</v>
      </c>
      <c r="T40" s="4">
        <v>32</v>
      </c>
      <c r="U40" s="4">
        <v>34</v>
      </c>
      <c r="V40" s="53">
        <f>IF(ISERROR(VLOOKUP($S$40,'TAR FIN'!$A$1:$O$85,15,0)),0,VLOOKUP($S$40,'TAR FIN'!$A$1:$O$85,15,0))</f>
        <v>0</v>
      </c>
      <c r="W40" s="53">
        <f>IF(ISERROR(VLOOKUP($T$40,'TAR FIN'!$A$1:$O$85,15,0)),0,VLOOKUP($T$40,'TAR FIN'!$A$1:$O$85,15,0))*(1-0.06)</f>
        <v>2688.2496000000001</v>
      </c>
      <c r="X40" s="53">
        <f>IF(ISERROR(VLOOKUP($U$40,'TAR FIN'!$A$1:$O$85,15,0)),0,VLOOKUP($U$40,'TAR FIN'!$A$1:$O$85,15,0))*(1-0.06)</f>
        <v>112.7718</v>
      </c>
      <c r="Y40" s="53"/>
      <c r="Z40" s="53">
        <f ca="1">('TUSD BE'!$AM$11+'TUSD BF'!$AM$11+'TUSD CVA'!$AM$11)*1*(1-0.03)</f>
        <v>2838.5298865954551</v>
      </c>
      <c r="AA40" s="53">
        <f>('TE BE'!$AB$5+'TE BF'!$AB$5+'TE CVA'!$AB$5)*1*(1-0.03)</f>
        <v>118.90878875575021</v>
      </c>
      <c r="AB40" s="53">
        <f>(SUBSIDIO!$J$40*SUBSIDIO!$V$40)*(0.06)/(1-0.06)</f>
        <v>0</v>
      </c>
      <c r="AC40" s="53">
        <f>((SUBSIDIO!$L$40*SUBSIDIO!$W$40)+(SUBSIDIO!$N$40*SUBSIDIO!$X$40))*(0.06)/(1-0.06)</f>
        <v>811.87903260000019</v>
      </c>
      <c r="AD40" s="53">
        <f>(SUBSIDIO!$J$40*SUBSIDIO!$Y$40)*(0.03)/(1-0.03)</f>
        <v>0</v>
      </c>
      <c r="AE40" s="53">
        <f ca="1">((SUBSIDIO!$L$40*SUBSIDIO!$Z$40)+(SUBSIDIO!$N$40*SUBSIDIO!$AA$40))*(0.03)/(1-0.03)</f>
        <v>415.35244406504614</v>
      </c>
      <c r="AF40" s="4" t="s">
        <v>624</v>
      </c>
    </row>
    <row r="41" spans="1:32" ht="11.25" customHeight="1" x14ac:dyDescent="0.3">
      <c r="A41" s="4" t="s">
        <v>52</v>
      </c>
      <c r="B41" s="4" t="s">
        <v>35</v>
      </c>
      <c r="C41" s="4" t="s">
        <v>36</v>
      </c>
      <c r="D41" s="4" t="s">
        <v>48</v>
      </c>
      <c r="E41" s="4" t="s">
        <v>49</v>
      </c>
      <c r="F41" s="4" t="s">
        <v>25</v>
      </c>
      <c r="G41" s="4" t="s">
        <v>25</v>
      </c>
      <c r="H41" s="4" t="s">
        <v>37</v>
      </c>
      <c r="I41" s="5">
        <v>44774</v>
      </c>
      <c r="J41" s="6">
        <v>0</v>
      </c>
      <c r="K41" s="53">
        <v>0</v>
      </c>
      <c r="L41" s="6">
        <v>4.5410000000000004</v>
      </c>
      <c r="M41" s="53">
        <v>4.5410000000000004</v>
      </c>
      <c r="N41" s="6">
        <v>4.5410000000000004</v>
      </c>
      <c r="O41" s="53">
        <v>4.5410000000000004</v>
      </c>
      <c r="P41" s="6">
        <v>0</v>
      </c>
      <c r="Q41" s="4" t="s">
        <v>26</v>
      </c>
      <c r="R41" s="4">
        <v>0</v>
      </c>
      <c r="S41" s="4">
        <v>0</v>
      </c>
      <c r="T41" s="4">
        <v>32</v>
      </c>
      <c r="U41" s="4">
        <v>34</v>
      </c>
      <c r="V41" s="53">
        <f>IF(ISERROR(VLOOKUP($S$41,'TAR FIN'!$A$1:$O$85,15,0)),0,VLOOKUP($S$41,'TAR FIN'!$A$1:$O$85,15,0))</f>
        <v>0</v>
      </c>
      <c r="W41" s="53">
        <f>IF(ISERROR(VLOOKUP($T$41,'TAR FIN'!$A$1:$O$85,15,0)),0,VLOOKUP($T$41,'TAR FIN'!$A$1:$O$85,15,0))*(1-0.06)</f>
        <v>2688.2496000000001</v>
      </c>
      <c r="X41" s="53">
        <f>IF(ISERROR(VLOOKUP($U$41,'TAR FIN'!$A$1:$O$85,15,0)),0,VLOOKUP($U$41,'TAR FIN'!$A$1:$O$85,15,0))*(1-0.06)</f>
        <v>112.7718</v>
      </c>
      <c r="Y41" s="53"/>
      <c r="Z41" s="53">
        <f ca="1">('TUSD BE'!$AM$11+'TUSD BF'!$AM$11+'TUSD CVA'!$AM$11)*1*(1-0.03)</f>
        <v>2838.5298865954551</v>
      </c>
      <c r="AA41" s="53">
        <f>('TE BE'!$AB$5+'TE BF'!$AB$5+'TE CVA'!$AB$5)*1*(1-0.03)</f>
        <v>118.90878875575021</v>
      </c>
      <c r="AB41" s="53">
        <f>(SUBSIDIO!$J$41*SUBSIDIO!$V$41)*(0.06)/(1-0.06)</f>
        <v>0</v>
      </c>
      <c r="AC41" s="53">
        <f>((SUBSIDIO!$L$41*SUBSIDIO!$W$41)+(SUBSIDIO!$N$41*SUBSIDIO!$X$41))*(0.06)/(1-0.06)</f>
        <v>811.87903260000019</v>
      </c>
      <c r="AD41" s="53">
        <f>(SUBSIDIO!$J$41*SUBSIDIO!$Y$41)*(0.03)/(1-0.03)</f>
        <v>0</v>
      </c>
      <c r="AE41" s="53">
        <f ca="1">((SUBSIDIO!$L$41*SUBSIDIO!$Z$41)+(SUBSIDIO!$N$41*SUBSIDIO!$AA$41))*(0.03)/(1-0.03)</f>
        <v>415.35244406504614</v>
      </c>
      <c r="AF41" s="4" t="s">
        <v>624</v>
      </c>
    </row>
    <row r="42" spans="1:32" ht="11.25" customHeight="1" x14ac:dyDescent="0.3">
      <c r="A42" s="4" t="s">
        <v>21</v>
      </c>
      <c r="B42" s="4" t="s">
        <v>22</v>
      </c>
      <c r="C42" s="4" t="s">
        <v>23</v>
      </c>
      <c r="D42" s="4" t="s">
        <v>24</v>
      </c>
      <c r="E42" s="4" t="s">
        <v>24</v>
      </c>
      <c r="F42" s="4" t="s">
        <v>25</v>
      </c>
      <c r="G42" s="4" t="s">
        <v>25</v>
      </c>
      <c r="H42" s="4" t="s">
        <v>25</v>
      </c>
      <c r="I42" s="5">
        <v>44440</v>
      </c>
      <c r="J42" s="6">
        <v>0</v>
      </c>
      <c r="K42" s="6">
        <v>0</v>
      </c>
      <c r="L42" s="6">
        <v>480.62900000000002</v>
      </c>
      <c r="M42" s="6">
        <v>480.62900000000002</v>
      </c>
      <c r="N42" s="6">
        <v>480.62900000000002</v>
      </c>
      <c r="O42" s="6">
        <v>480.62900000000002</v>
      </c>
      <c r="P42" s="6">
        <v>3107</v>
      </c>
      <c r="Q42" s="4" t="s">
        <v>26</v>
      </c>
      <c r="R42" s="4">
        <v>0</v>
      </c>
      <c r="S42" s="4">
        <v>0</v>
      </c>
      <c r="T42" s="4">
        <v>15</v>
      </c>
      <c r="U42" s="4">
        <v>43</v>
      </c>
      <c r="V42" s="6">
        <f>IF(ISERROR(VLOOKUP($S$42,'TAR FIN'!$A$1:$O$85,15,0)),0,VLOOKUP($S$42,'TAR FIN'!$A$1:$O$85,15,0))</f>
        <v>0</v>
      </c>
      <c r="W42" s="6">
        <f>IF(ISERROR(VLOOKUP($T$42,'TAR FIN'!$A$1:$O$85,15,0)),0,VLOOKUP($T$42,'TAR FIN'!$A$1:$O$85,15,0))</f>
        <v>609.05999999999995</v>
      </c>
      <c r="X42" s="6">
        <f>IF(ISERROR(VLOOKUP($U$42,'TAR FIN'!$A$1:$O$85,15,0)),0,VLOOKUP($U$42,'TAR FIN'!$A$1:$O$85,15,0))</f>
        <v>119.97</v>
      </c>
      <c r="Y42" s="6"/>
      <c r="Z42" s="6">
        <f ca="1">('TUSD BE'!$AM$20+'TUSD BF'!$AM$20+'TUSD CVA'!$AM$20)*1</f>
        <v>659.71654674120782</v>
      </c>
      <c r="AA42" s="6">
        <f>('TE BE'!$AB$10+'TE BF'!$AB$10+'TE CVA'!$AB$10)*1</f>
        <v>122.58638016056723</v>
      </c>
      <c r="AB42" s="6">
        <f t="shared" ref="AB42:AB65" si="2">(J42-K42)*V42</f>
        <v>0</v>
      </c>
      <c r="AC42" s="6">
        <f t="shared" ref="AC42" si="3">(L42-M42)*W42+(N42-O42)*X42</f>
        <v>0</v>
      </c>
      <c r="AD42" s="6">
        <f t="shared" ref="AD42:AD65" si="4">(J42-K42)*Y42</f>
        <v>0</v>
      </c>
      <c r="AE42" s="6">
        <f t="shared" ref="AE42" ca="1" si="5">(L42-M42)*Z42+(N42-O42)*AA42</f>
        <v>0</v>
      </c>
    </row>
    <row r="43" spans="1:32" ht="11.25" customHeight="1" x14ac:dyDescent="0.3">
      <c r="A43" s="4" t="s">
        <v>21</v>
      </c>
      <c r="B43" s="4" t="s">
        <v>22</v>
      </c>
      <c r="C43" s="4" t="s">
        <v>23</v>
      </c>
      <c r="D43" s="4" t="s">
        <v>24</v>
      </c>
      <c r="E43" s="4" t="s">
        <v>29</v>
      </c>
      <c r="F43" s="4" t="s">
        <v>25</v>
      </c>
      <c r="G43" s="4" t="s">
        <v>25</v>
      </c>
      <c r="H43" s="4" t="s">
        <v>25</v>
      </c>
      <c r="I43" s="5">
        <v>44440</v>
      </c>
      <c r="J43" s="6">
        <v>0</v>
      </c>
      <c r="K43" s="6">
        <v>0</v>
      </c>
      <c r="L43" s="6">
        <v>3.93</v>
      </c>
      <c r="M43" s="6">
        <v>3.93</v>
      </c>
      <c r="N43" s="6">
        <v>3.93</v>
      </c>
      <c r="O43" s="6">
        <v>3.93</v>
      </c>
      <c r="P43" s="6">
        <v>13</v>
      </c>
      <c r="Q43" s="4" t="s">
        <v>26</v>
      </c>
      <c r="R43" s="4">
        <v>0</v>
      </c>
      <c r="S43" s="4">
        <v>0</v>
      </c>
      <c r="T43" s="4">
        <v>2</v>
      </c>
      <c r="U43" s="4">
        <v>38</v>
      </c>
      <c r="V43" s="6">
        <f>IF(ISERROR(VLOOKUP($S$43,'TAR FIN'!$A$1:$O$85,15,0)),0,VLOOKUP($S$43,'TAR FIN'!$A$1:$O$85,15,0))</f>
        <v>0</v>
      </c>
      <c r="W43" s="6">
        <f>IF(ISERROR(VLOOKUP($T$43,'TAR FIN'!$A$1:$O$85,15,0)),0,VLOOKUP($T$43,'TAR FIN'!$A$1:$O$85,15,0))</f>
        <v>190.95</v>
      </c>
      <c r="X43" s="6">
        <f>IF(ISERROR(VLOOKUP($U$43,'TAR FIN'!$A$1:$O$85,15,0)),0,VLOOKUP($U$43,'TAR FIN'!$A$1:$O$85,15,0))</f>
        <v>41.99</v>
      </c>
      <c r="Y43" s="6"/>
      <c r="Z43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43" s="6">
        <f>('TE BE'!$AB$11+'TE BF'!$AB$11+'TE CVA'!$AB$11)*(1-CUSTOS!$M$34)</f>
        <v>42.905233056198526</v>
      </c>
      <c r="AB43" s="6">
        <f t="shared" si="2"/>
        <v>0</v>
      </c>
      <c r="AC43" s="6">
        <f>(L43-M43)*(W43+X43)+($W$82+$X$82-$W$43-$X$43)*(L43)</f>
        <v>1700.0787</v>
      </c>
      <c r="AD43" s="6">
        <f t="shared" si="4"/>
        <v>0</v>
      </c>
      <c r="AE43" s="6">
        <f ca="1">(L43-M43)*(Z43+AA43)+($Z$82+$AA$82-$Z$43-$AA$43)*(L43)</f>
        <v>1733.2603760439533</v>
      </c>
      <c r="AF43" s="4" t="s">
        <v>626</v>
      </c>
    </row>
    <row r="44" spans="1:32" ht="11.25" customHeight="1" x14ac:dyDescent="0.3">
      <c r="A44" s="4" t="s">
        <v>21</v>
      </c>
      <c r="B44" s="4" t="s">
        <v>22</v>
      </c>
      <c r="C44" s="4" t="s">
        <v>23</v>
      </c>
      <c r="D44" s="4" t="s">
        <v>24</v>
      </c>
      <c r="E44" s="4" t="s">
        <v>29</v>
      </c>
      <c r="F44" s="4" t="s">
        <v>25</v>
      </c>
      <c r="G44" s="4" t="s">
        <v>25</v>
      </c>
      <c r="H44" s="4" t="s">
        <v>25</v>
      </c>
      <c r="I44" s="5">
        <v>44470</v>
      </c>
      <c r="J44" s="6">
        <v>0</v>
      </c>
      <c r="K44" s="6">
        <v>0</v>
      </c>
      <c r="L44" s="6">
        <v>4.05</v>
      </c>
      <c r="M44" s="6">
        <v>4.05</v>
      </c>
      <c r="N44" s="6">
        <v>4.05</v>
      </c>
      <c r="O44" s="6">
        <v>4.05</v>
      </c>
      <c r="P44" s="6">
        <v>7</v>
      </c>
      <c r="Q44" s="4" t="s">
        <v>26</v>
      </c>
      <c r="R44" s="4">
        <v>0</v>
      </c>
      <c r="S44" s="4">
        <v>0</v>
      </c>
      <c r="T44" s="4">
        <v>2</v>
      </c>
      <c r="U44" s="4">
        <v>38</v>
      </c>
      <c r="V44" s="6">
        <f>IF(ISERROR(VLOOKUP($S$44,'TAR FIN'!$A$1:$O$85,15,0)),0,VLOOKUP($S$44,'TAR FIN'!$A$1:$O$85,15,0))</f>
        <v>0</v>
      </c>
      <c r="W44" s="6">
        <f>IF(ISERROR(VLOOKUP($T$44,'TAR FIN'!$A$1:$O$85,15,0)),0,VLOOKUP($T$44,'TAR FIN'!$A$1:$O$85,15,0))</f>
        <v>190.95</v>
      </c>
      <c r="X44" s="6">
        <f>IF(ISERROR(VLOOKUP($U$44,'TAR FIN'!$A$1:$O$85,15,0)),0,VLOOKUP($U$44,'TAR FIN'!$A$1:$O$85,15,0))</f>
        <v>41.99</v>
      </c>
      <c r="Y44" s="6"/>
      <c r="Z44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44" s="6">
        <f>('TE BE'!$AB$11+'TE BF'!$AB$11+'TE CVA'!$AB$11)*(1-CUSTOS!$M$34)</f>
        <v>42.905233056198526</v>
      </c>
      <c r="AB44" s="6">
        <f t="shared" si="2"/>
        <v>0</v>
      </c>
      <c r="AC44" s="6">
        <f>(L44-M44)*(W44+X44)+($W$82+$X$82-$W$44-$X$44)*(L44)</f>
        <v>1751.9894999999999</v>
      </c>
      <c r="AD44" s="6">
        <f t="shared" si="4"/>
        <v>0</v>
      </c>
      <c r="AE44" s="6">
        <f ca="1">(L44-M44)*(Z44+AA44)+($Z$82+$AA$82-$Z$44-$AA$44)*(L44)</f>
        <v>1786.1843569918603</v>
      </c>
      <c r="AF44" s="4" t="s">
        <v>626</v>
      </c>
    </row>
    <row r="45" spans="1:32" ht="11.25" customHeight="1" x14ac:dyDescent="0.3">
      <c r="A45" s="4" t="s">
        <v>21</v>
      </c>
      <c r="B45" s="4" t="s">
        <v>22</v>
      </c>
      <c r="C45" s="4" t="s">
        <v>23</v>
      </c>
      <c r="D45" s="4" t="s">
        <v>24</v>
      </c>
      <c r="E45" s="4" t="s">
        <v>29</v>
      </c>
      <c r="F45" s="4" t="s">
        <v>25</v>
      </c>
      <c r="G45" s="4" t="s">
        <v>25</v>
      </c>
      <c r="H45" s="4" t="s">
        <v>25</v>
      </c>
      <c r="I45" s="5">
        <v>44501</v>
      </c>
      <c r="J45" s="6">
        <v>0</v>
      </c>
      <c r="K45" s="6">
        <v>0</v>
      </c>
      <c r="L45" s="6">
        <v>4.08</v>
      </c>
      <c r="M45" s="6">
        <v>4.08</v>
      </c>
      <c r="N45" s="6">
        <v>4.08</v>
      </c>
      <c r="O45" s="6">
        <v>4.08</v>
      </c>
      <c r="P45" s="6">
        <v>7</v>
      </c>
      <c r="Q45" s="4" t="s">
        <v>26</v>
      </c>
      <c r="R45" s="4">
        <v>0</v>
      </c>
      <c r="S45" s="4">
        <v>0</v>
      </c>
      <c r="T45" s="4">
        <v>2</v>
      </c>
      <c r="U45" s="4">
        <v>38</v>
      </c>
      <c r="V45" s="6">
        <f>IF(ISERROR(VLOOKUP($S$45,'TAR FIN'!$A$1:$O$85,15,0)),0,VLOOKUP($S$45,'TAR FIN'!$A$1:$O$85,15,0))</f>
        <v>0</v>
      </c>
      <c r="W45" s="6">
        <f>IF(ISERROR(VLOOKUP($T$45,'TAR FIN'!$A$1:$O$85,15,0)),0,VLOOKUP($T$45,'TAR FIN'!$A$1:$O$85,15,0))</f>
        <v>190.95</v>
      </c>
      <c r="X45" s="6">
        <f>IF(ISERROR(VLOOKUP($U$45,'TAR FIN'!$A$1:$O$85,15,0)),0,VLOOKUP($U$45,'TAR FIN'!$A$1:$O$85,15,0))</f>
        <v>41.99</v>
      </c>
      <c r="Y45" s="6"/>
      <c r="Z45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45" s="6">
        <f>('TE BE'!$AB$11+'TE BF'!$AB$11+'TE CVA'!$AB$11)*(1-CUSTOS!$M$34)</f>
        <v>42.905233056198526</v>
      </c>
      <c r="AB45" s="6">
        <f t="shared" si="2"/>
        <v>0</v>
      </c>
      <c r="AC45" s="6">
        <f>(L45-M45)*(W45+X45)+($W$82+$X$82-$W$45-$X$45)*(L45)</f>
        <v>1764.9671999999998</v>
      </c>
      <c r="AD45" s="6">
        <f t="shared" si="4"/>
        <v>0</v>
      </c>
      <c r="AE45" s="6">
        <f ca="1">(L45-M45)*(Z45+AA45)+($Z$82+$AA$82-$Z$45-$AA$45)*(L45)</f>
        <v>1799.415352228837</v>
      </c>
      <c r="AF45" s="4" t="s">
        <v>626</v>
      </c>
    </row>
    <row r="46" spans="1:32" ht="11.25" customHeight="1" x14ac:dyDescent="0.3">
      <c r="A46" s="4" t="s">
        <v>21</v>
      </c>
      <c r="B46" s="4" t="s">
        <v>22</v>
      </c>
      <c r="C46" s="4" t="s">
        <v>23</v>
      </c>
      <c r="D46" s="4" t="s">
        <v>24</v>
      </c>
      <c r="E46" s="4" t="s">
        <v>29</v>
      </c>
      <c r="F46" s="4" t="s">
        <v>25</v>
      </c>
      <c r="G46" s="4" t="s">
        <v>25</v>
      </c>
      <c r="H46" s="4" t="s">
        <v>25</v>
      </c>
      <c r="I46" s="5">
        <v>44531</v>
      </c>
      <c r="J46" s="6">
        <v>0</v>
      </c>
      <c r="K46" s="6">
        <v>0</v>
      </c>
      <c r="L46" s="6">
        <v>4.17</v>
      </c>
      <c r="M46" s="6">
        <v>4.17</v>
      </c>
      <c r="N46" s="6">
        <v>4.17</v>
      </c>
      <c r="O46" s="6">
        <v>4.17</v>
      </c>
      <c r="P46" s="6">
        <v>7</v>
      </c>
      <c r="Q46" s="4" t="s">
        <v>26</v>
      </c>
      <c r="R46" s="4">
        <v>0</v>
      </c>
      <c r="S46" s="4">
        <v>0</v>
      </c>
      <c r="T46" s="4">
        <v>2</v>
      </c>
      <c r="U46" s="4">
        <v>38</v>
      </c>
      <c r="V46" s="6">
        <f>IF(ISERROR(VLOOKUP($S$46,'TAR FIN'!$A$1:$O$85,15,0)),0,VLOOKUP($S$46,'TAR FIN'!$A$1:$O$85,15,0))</f>
        <v>0</v>
      </c>
      <c r="W46" s="6">
        <f>IF(ISERROR(VLOOKUP($T$46,'TAR FIN'!$A$1:$O$85,15,0)),0,VLOOKUP($T$46,'TAR FIN'!$A$1:$O$85,15,0))</f>
        <v>190.95</v>
      </c>
      <c r="X46" s="6">
        <f>IF(ISERROR(VLOOKUP($U$46,'TAR FIN'!$A$1:$O$85,15,0)),0,VLOOKUP($U$46,'TAR FIN'!$A$1:$O$85,15,0))</f>
        <v>41.99</v>
      </c>
      <c r="Y46" s="6"/>
      <c r="Z46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46" s="6">
        <f>('TE BE'!$AB$11+'TE BF'!$AB$11+'TE CVA'!$AB$11)*(1-CUSTOS!$M$34)</f>
        <v>42.905233056198526</v>
      </c>
      <c r="AB46" s="6">
        <f t="shared" si="2"/>
        <v>0</v>
      </c>
      <c r="AC46" s="6">
        <f>(L46-M46)*(W46+X46)+($W$82+$X$82-$W$46-$X$46)*(L46)</f>
        <v>1803.9002999999998</v>
      </c>
      <c r="AD46" s="6">
        <f t="shared" si="4"/>
        <v>0</v>
      </c>
      <c r="AE46" s="6">
        <f ca="1">(L46-M46)*(Z46+AA46)+($Z$82+$AA$82-$Z$46-$AA$46)*(L46)</f>
        <v>1839.1083379397674</v>
      </c>
      <c r="AF46" s="4" t="s">
        <v>626</v>
      </c>
    </row>
    <row r="47" spans="1:32" ht="11.25" customHeight="1" x14ac:dyDescent="0.3">
      <c r="A47" s="4" t="s">
        <v>21</v>
      </c>
      <c r="B47" s="4" t="s">
        <v>22</v>
      </c>
      <c r="C47" s="4" t="s">
        <v>23</v>
      </c>
      <c r="D47" s="4" t="s">
        <v>24</v>
      </c>
      <c r="E47" s="4" t="s">
        <v>29</v>
      </c>
      <c r="F47" s="4" t="s">
        <v>25</v>
      </c>
      <c r="G47" s="4" t="s">
        <v>25</v>
      </c>
      <c r="H47" s="4" t="s">
        <v>25</v>
      </c>
      <c r="I47" s="5">
        <v>44562</v>
      </c>
      <c r="J47" s="6">
        <v>0</v>
      </c>
      <c r="K47" s="6">
        <v>0</v>
      </c>
      <c r="L47" s="6">
        <v>4.2300000000000004</v>
      </c>
      <c r="M47" s="6">
        <v>4.2300000000000004</v>
      </c>
      <c r="N47" s="6">
        <v>4.2300000000000004</v>
      </c>
      <c r="O47" s="6">
        <v>4.2300000000000004</v>
      </c>
      <c r="P47" s="6">
        <v>10</v>
      </c>
      <c r="Q47" s="4" t="s">
        <v>26</v>
      </c>
      <c r="R47" s="4">
        <v>0</v>
      </c>
      <c r="S47" s="4">
        <v>0</v>
      </c>
      <c r="T47" s="4">
        <v>2</v>
      </c>
      <c r="U47" s="4">
        <v>38</v>
      </c>
      <c r="V47" s="6">
        <f>IF(ISERROR(VLOOKUP($S$47,'TAR FIN'!$A$1:$O$85,15,0)),0,VLOOKUP($S$47,'TAR FIN'!$A$1:$O$85,15,0))</f>
        <v>0</v>
      </c>
      <c r="W47" s="6">
        <f>IF(ISERROR(VLOOKUP($T$47,'TAR FIN'!$A$1:$O$85,15,0)),0,VLOOKUP($T$47,'TAR FIN'!$A$1:$O$85,15,0))</f>
        <v>190.95</v>
      </c>
      <c r="X47" s="6">
        <f>IF(ISERROR(VLOOKUP($U$47,'TAR FIN'!$A$1:$O$85,15,0)),0,VLOOKUP($U$47,'TAR FIN'!$A$1:$O$85,15,0))</f>
        <v>41.99</v>
      </c>
      <c r="Y47" s="6"/>
      <c r="Z47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47" s="6">
        <f>('TE BE'!$AB$11+'TE BF'!$AB$11+'TE CVA'!$AB$11)*(1-CUSTOS!$M$34)</f>
        <v>42.905233056198526</v>
      </c>
      <c r="AB47" s="6">
        <f t="shared" si="2"/>
        <v>0</v>
      </c>
      <c r="AC47" s="6">
        <f>(L47-M47)*(W47+X47)+($W$82+$X$82-$W$47-$X$47)*(L47)</f>
        <v>1829.8557000000001</v>
      </c>
      <c r="AD47" s="6">
        <f t="shared" si="4"/>
        <v>0</v>
      </c>
      <c r="AE47" s="6">
        <f ca="1">(L47-M47)*(Z47+AA47)+($Z$82+$AA$82-$Z$47-$AA$47)*(L47)</f>
        <v>1865.570328413721</v>
      </c>
      <c r="AF47" s="4" t="s">
        <v>626</v>
      </c>
    </row>
    <row r="48" spans="1:32" ht="11.25" customHeight="1" x14ac:dyDescent="0.3">
      <c r="A48" s="4" t="s">
        <v>21</v>
      </c>
      <c r="B48" s="4" t="s">
        <v>22</v>
      </c>
      <c r="C48" s="4" t="s">
        <v>23</v>
      </c>
      <c r="D48" s="4" t="s">
        <v>24</v>
      </c>
      <c r="E48" s="4" t="s">
        <v>29</v>
      </c>
      <c r="F48" s="4" t="s">
        <v>25</v>
      </c>
      <c r="G48" s="4" t="s">
        <v>25</v>
      </c>
      <c r="H48" s="4" t="s">
        <v>25</v>
      </c>
      <c r="I48" s="5">
        <v>44593</v>
      </c>
      <c r="J48" s="6">
        <v>0</v>
      </c>
      <c r="K48" s="6">
        <v>0</v>
      </c>
      <c r="L48" s="6">
        <v>4.41</v>
      </c>
      <c r="M48" s="6">
        <v>4.41</v>
      </c>
      <c r="N48" s="6">
        <v>4.41</v>
      </c>
      <c r="O48" s="6">
        <v>4.41</v>
      </c>
      <c r="P48" s="6">
        <v>7</v>
      </c>
      <c r="Q48" s="4" t="s">
        <v>26</v>
      </c>
      <c r="R48" s="4">
        <v>0</v>
      </c>
      <c r="S48" s="4">
        <v>0</v>
      </c>
      <c r="T48" s="4">
        <v>2</v>
      </c>
      <c r="U48" s="4">
        <v>38</v>
      </c>
      <c r="V48" s="6">
        <f>IF(ISERROR(VLOOKUP($S$48,'TAR FIN'!$A$1:$O$85,15,0)),0,VLOOKUP($S$48,'TAR FIN'!$A$1:$O$85,15,0))</f>
        <v>0</v>
      </c>
      <c r="W48" s="6">
        <f>IF(ISERROR(VLOOKUP($T$48,'TAR FIN'!$A$1:$O$85,15,0)),0,VLOOKUP($T$48,'TAR FIN'!$A$1:$O$85,15,0))</f>
        <v>190.95</v>
      </c>
      <c r="X48" s="6">
        <f>IF(ISERROR(VLOOKUP($U$48,'TAR FIN'!$A$1:$O$85,15,0)),0,VLOOKUP($U$48,'TAR FIN'!$A$1:$O$85,15,0))</f>
        <v>41.99</v>
      </c>
      <c r="Y48" s="6"/>
      <c r="Z48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48" s="6">
        <f>('TE BE'!$AB$11+'TE BF'!$AB$11+'TE CVA'!$AB$11)*(1-CUSTOS!$M$34)</f>
        <v>42.905233056198526</v>
      </c>
      <c r="AB48" s="6">
        <f t="shared" si="2"/>
        <v>0</v>
      </c>
      <c r="AC48" s="6">
        <f>(L48-M48)*(W48+X48)+($W$82+$X$82-$W$48-$X$48)*(L48)</f>
        <v>1907.7219</v>
      </c>
      <c r="AD48" s="6">
        <f t="shared" si="4"/>
        <v>0</v>
      </c>
      <c r="AE48" s="6">
        <f ca="1">(L48-M48)*(Z48+AA48)+($Z$82+$AA$82-$Z$48-$AA$48)*(L48)</f>
        <v>1944.9562998355814</v>
      </c>
      <c r="AF48" s="4" t="s">
        <v>626</v>
      </c>
    </row>
    <row r="49" spans="1:32" ht="11.25" customHeight="1" x14ac:dyDescent="0.3">
      <c r="A49" s="4" t="s">
        <v>21</v>
      </c>
      <c r="B49" s="4" t="s">
        <v>22</v>
      </c>
      <c r="C49" s="4" t="s">
        <v>23</v>
      </c>
      <c r="D49" s="4" t="s">
        <v>24</v>
      </c>
      <c r="E49" s="4" t="s">
        <v>29</v>
      </c>
      <c r="F49" s="4" t="s">
        <v>25</v>
      </c>
      <c r="G49" s="4" t="s">
        <v>25</v>
      </c>
      <c r="H49" s="4" t="s">
        <v>25</v>
      </c>
      <c r="I49" s="5">
        <v>44621</v>
      </c>
      <c r="J49" s="6">
        <v>0</v>
      </c>
      <c r="K49" s="6">
        <v>0</v>
      </c>
      <c r="L49" s="6">
        <v>4.53</v>
      </c>
      <c r="M49" s="6">
        <v>4.53</v>
      </c>
      <c r="N49" s="6">
        <v>4.53</v>
      </c>
      <c r="O49" s="6">
        <v>4.53</v>
      </c>
      <c r="P49" s="6">
        <v>9</v>
      </c>
      <c r="Q49" s="4" t="s">
        <v>26</v>
      </c>
      <c r="R49" s="4">
        <v>0</v>
      </c>
      <c r="S49" s="4">
        <v>0</v>
      </c>
      <c r="T49" s="4">
        <v>2</v>
      </c>
      <c r="U49" s="4">
        <v>38</v>
      </c>
      <c r="V49" s="6">
        <f>IF(ISERROR(VLOOKUP($S$49,'TAR FIN'!$A$1:$O$85,15,0)),0,VLOOKUP($S$49,'TAR FIN'!$A$1:$O$85,15,0))</f>
        <v>0</v>
      </c>
      <c r="W49" s="6">
        <f>IF(ISERROR(VLOOKUP($T$49,'TAR FIN'!$A$1:$O$85,15,0)),0,VLOOKUP($T$49,'TAR FIN'!$A$1:$O$85,15,0))</f>
        <v>190.95</v>
      </c>
      <c r="X49" s="6">
        <f>IF(ISERROR(VLOOKUP($U$49,'TAR FIN'!$A$1:$O$85,15,0)),0,VLOOKUP($U$49,'TAR FIN'!$A$1:$O$85,15,0))</f>
        <v>41.99</v>
      </c>
      <c r="Y49" s="6"/>
      <c r="Z49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49" s="6">
        <f>('TE BE'!$AB$11+'TE BF'!$AB$11+'TE CVA'!$AB$11)*(1-CUSTOS!$M$34)</f>
        <v>42.905233056198526</v>
      </c>
      <c r="AB49" s="6">
        <f t="shared" si="2"/>
        <v>0</v>
      </c>
      <c r="AC49" s="6">
        <f>(L49-M49)*(W49+X49)+($W$82+$X$82-$W$49-$X$49)*(L49)</f>
        <v>1959.6326999999999</v>
      </c>
      <c r="AD49" s="6">
        <f t="shared" si="4"/>
        <v>0</v>
      </c>
      <c r="AE49" s="6">
        <f ca="1">(L49-M49)*(Z49+AA49)+($Z$82+$AA$82-$Z$49-$AA$49)*(L49)</f>
        <v>1997.8802807834884</v>
      </c>
      <c r="AF49" s="4" t="s">
        <v>626</v>
      </c>
    </row>
    <row r="50" spans="1:32" ht="11.25" customHeight="1" x14ac:dyDescent="0.3">
      <c r="A50" s="4" t="s">
        <v>27</v>
      </c>
      <c r="B50" s="4" t="s">
        <v>22</v>
      </c>
      <c r="C50" s="4" t="s">
        <v>23</v>
      </c>
      <c r="D50" s="4" t="s">
        <v>24</v>
      </c>
      <c r="E50" s="4" t="s">
        <v>29</v>
      </c>
      <c r="F50" s="4" t="s">
        <v>25</v>
      </c>
      <c r="G50" s="4" t="s">
        <v>25</v>
      </c>
      <c r="H50" s="4" t="s">
        <v>25</v>
      </c>
      <c r="I50" s="5">
        <v>44621</v>
      </c>
      <c r="J50" s="6">
        <v>0</v>
      </c>
      <c r="K50" s="6">
        <v>0</v>
      </c>
      <c r="L50" s="6">
        <v>0.03</v>
      </c>
      <c r="M50" s="6">
        <v>0.03</v>
      </c>
      <c r="N50" s="6">
        <v>0.03</v>
      </c>
      <c r="O50" s="6">
        <v>0.03</v>
      </c>
      <c r="P50" s="6">
        <v>0</v>
      </c>
      <c r="Q50" s="4" t="s">
        <v>26</v>
      </c>
      <c r="R50" s="4">
        <v>0</v>
      </c>
      <c r="S50" s="4">
        <v>0</v>
      </c>
      <c r="T50" s="4">
        <v>2</v>
      </c>
      <c r="U50" s="4">
        <v>38</v>
      </c>
      <c r="V50" s="6">
        <f>IF(ISERROR(VLOOKUP($S$50,'TAR FIN'!$A$1:$O$85,15,0)),0,VLOOKUP($S$50,'TAR FIN'!$A$1:$O$85,15,0))</f>
        <v>0</v>
      </c>
      <c r="W50" s="6">
        <f>IF(ISERROR(VLOOKUP($T$50,'TAR FIN'!$A$1:$O$85,15,0)),0,VLOOKUP($T$50,'TAR FIN'!$A$1:$O$85,15,0))</f>
        <v>190.95</v>
      </c>
      <c r="X50" s="6">
        <f>IF(ISERROR(VLOOKUP($U$50,'TAR FIN'!$A$1:$O$85,15,0)),0,VLOOKUP($U$50,'TAR FIN'!$A$1:$O$85,15,0))</f>
        <v>41.99</v>
      </c>
      <c r="Y50" s="6"/>
      <c r="Z50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50" s="6">
        <f>('TE BE'!$AB$11+'TE BF'!$AB$11+'TE CVA'!$AB$11)*(1-CUSTOS!$M$34)</f>
        <v>42.905233056198526</v>
      </c>
      <c r="AB50" s="6">
        <f t="shared" si="2"/>
        <v>0</v>
      </c>
      <c r="AC50" s="6">
        <f>(L50-M50)*(W50+X50)+($W$82+$X$82-$W$50-$X$50)*(L50)</f>
        <v>12.977699999999999</v>
      </c>
      <c r="AD50" s="6">
        <f t="shared" si="4"/>
        <v>0</v>
      </c>
      <c r="AE50" s="6">
        <f ca="1">(L50-M50)*(Z50+AA50)+($Z$82+$AA$82-$Z$50-$AA$50)*(L50)</f>
        <v>13.230995236976742</v>
      </c>
      <c r="AF50" s="4" t="s">
        <v>626</v>
      </c>
    </row>
    <row r="51" spans="1:32" ht="11.25" customHeight="1" x14ac:dyDescent="0.3">
      <c r="A51" s="4" t="s">
        <v>21</v>
      </c>
      <c r="B51" s="4" t="s">
        <v>22</v>
      </c>
      <c r="C51" s="4" t="s">
        <v>23</v>
      </c>
      <c r="D51" s="4" t="s">
        <v>24</v>
      </c>
      <c r="E51" s="4" t="s">
        <v>29</v>
      </c>
      <c r="F51" s="4" t="s">
        <v>25</v>
      </c>
      <c r="G51" s="4" t="s">
        <v>25</v>
      </c>
      <c r="H51" s="4" t="s">
        <v>25</v>
      </c>
      <c r="I51" s="5">
        <v>44652</v>
      </c>
      <c r="J51" s="6">
        <v>0</v>
      </c>
      <c r="K51" s="6">
        <v>0</v>
      </c>
      <c r="L51" s="6">
        <v>5.19</v>
      </c>
      <c r="M51" s="6">
        <v>5.19</v>
      </c>
      <c r="N51" s="6">
        <v>5.19</v>
      </c>
      <c r="O51" s="6">
        <v>5.19</v>
      </c>
      <c r="P51" s="6">
        <v>13</v>
      </c>
      <c r="Q51" s="4" t="s">
        <v>26</v>
      </c>
      <c r="R51" s="4">
        <v>0</v>
      </c>
      <c r="S51" s="4">
        <v>0</v>
      </c>
      <c r="T51" s="4">
        <v>2</v>
      </c>
      <c r="U51" s="4">
        <v>38</v>
      </c>
      <c r="V51" s="6">
        <f>IF(ISERROR(VLOOKUP($S$51,'TAR FIN'!$A$1:$O$85,15,0)),0,VLOOKUP($S$51,'TAR FIN'!$A$1:$O$85,15,0))</f>
        <v>0</v>
      </c>
      <c r="W51" s="6">
        <f>IF(ISERROR(VLOOKUP($T$51,'TAR FIN'!$A$1:$O$85,15,0)),0,VLOOKUP($T$51,'TAR FIN'!$A$1:$O$85,15,0))</f>
        <v>190.95</v>
      </c>
      <c r="X51" s="6">
        <f>IF(ISERROR(VLOOKUP($U$51,'TAR FIN'!$A$1:$O$85,15,0)),0,VLOOKUP($U$51,'TAR FIN'!$A$1:$O$85,15,0))</f>
        <v>41.99</v>
      </c>
      <c r="Y51" s="6"/>
      <c r="Z51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51" s="6">
        <f>('TE BE'!$AB$11+'TE BF'!$AB$11+'TE CVA'!$AB$11)*(1-CUSTOS!$M$34)</f>
        <v>42.905233056198526</v>
      </c>
      <c r="AB51" s="6">
        <f t="shared" si="2"/>
        <v>0</v>
      </c>
      <c r="AC51" s="6">
        <f>(L51-M51)*(W51+X51)+($W$82+$X$82-$W$51-$X$51)*(L51)</f>
        <v>2245.1421</v>
      </c>
      <c r="AD51" s="6">
        <f t="shared" si="4"/>
        <v>0</v>
      </c>
      <c r="AE51" s="6">
        <f ca="1">(L51-M51)*(Z51+AA51)+($Z$82+$AA$82-$Z$51-$AA$51)*(L51)</f>
        <v>2288.9621759969768</v>
      </c>
      <c r="AF51" s="4" t="s">
        <v>626</v>
      </c>
    </row>
    <row r="52" spans="1:32" ht="11.25" customHeight="1" x14ac:dyDescent="0.3">
      <c r="A52" s="4" t="s">
        <v>21</v>
      </c>
      <c r="B52" s="4" t="s">
        <v>22</v>
      </c>
      <c r="C52" s="4" t="s">
        <v>23</v>
      </c>
      <c r="D52" s="4" t="s">
        <v>24</v>
      </c>
      <c r="E52" s="4" t="s">
        <v>29</v>
      </c>
      <c r="F52" s="4" t="s">
        <v>25</v>
      </c>
      <c r="G52" s="4" t="s">
        <v>25</v>
      </c>
      <c r="H52" s="4" t="s">
        <v>25</v>
      </c>
      <c r="I52" s="5">
        <v>44682</v>
      </c>
      <c r="J52" s="6">
        <v>0</v>
      </c>
      <c r="K52" s="6">
        <v>0</v>
      </c>
      <c r="L52" s="6">
        <v>5.58</v>
      </c>
      <c r="M52" s="6">
        <v>5.58</v>
      </c>
      <c r="N52" s="6">
        <v>5.58</v>
      </c>
      <c r="O52" s="6">
        <v>5.58</v>
      </c>
      <c r="P52" s="6">
        <v>15</v>
      </c>
      <c r="Q52" s="4" t="s">
        <v>26</v>
      </c>
      <c r="R52" s="4">
        <v>0</v>
      </c>
      <c r="S52" s="4">
        <v>0</v>
      </c>
      <c r="T52" s="4">
        <v>2</v>
      </c>
      <c r="U52" s="4">
        <v>38</v>
      </c>
      <c r="V52" s="6">
        <f>IF(ISERROR(VLOOKUP($S$52,'TAR FIN'!$A$1:$O$85,15,0)),0,VLOOKUP($S$52,'TAR FIN'!$A$1:$O$85,15,0))</f>
        <v>0</v>
      </c>
      <c r="W52" s="6">
        <f>IF(ISERROR(VLOOKUP($T$52,'TAR FIN'!$A$1:$O$85,15,0)),0,VLOOKUP($T$52,'TAR FIN'!$A$1:$O$85,15,0))</f>
        <v>190.95</v>
      </c>
      <c r="X52" s="6">
        <f>IF(ISERROR(VLOOKUP($U$52,'TAR FIN'!$A$1:$O$85,15,0)),0,VLOOKUP($U$52,'TAR FIN'!$A$1:$O$85,15,0))</f>
        <v>41.99</v>
      </c>
      <c r="Y52" s="6"/>
      <c r="Z52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52" s="6">
        <f>('TE BE'!$AB$11+'TE BF'!$AB$11+'TE CVA'!$AB$11)*(1-CUSTOS!$M$34)</f>
        <v>42.905233056198526</v>
      </c>
      <c r="AB52" s="6">
        <f t="shared" si="2"/>
        <v>0</v>
      </c>
      <c r="AC52" s="6">
        <f>(L52-M52)*(W52+X52)+($W$82+$X$82-$W$52-$X$52)*(L52)</f>
        <v>2413.8521999999998</v>
      </c>
      <c r="AD52" s="6">
        <f t="shared" si="4"/>
        <v>0</v>
      </c>
      <c r="AE52" s="6">
        <f ca="1">(L52-M52)*(Z52+AA52)+($Z$82+$AA$82-$Z$52-$AA$52)*(L52)</f>
        <v>2460.9651140776741</v>
      </c>
      <c r="AF52" s="4" t="s">
        <v>626</v>
      </c>
    </row>
    <row r="53" spans="1:32" ht="11.25" customHeight="1" x14ac:dyDescent="0.3">
      <c r="A53" s="4" t="s">
        <v>21</v>
      </c>
      <c r="B53" s="4" t="s">
        <v>22</v>
      </c>
      <c r="C53" s="4" t="s">
        <v>23</v>
      </c>
      <c r="D53" s="4" t="s">
        <v>24</v>
      </c>
      <c r="E53" s="4" t="s">
        <v>29</v>
      </c>
      <c r="F53" s="4" t="s">
        <v>25</v>
      </c>
      <c r="G53" s="4" t="s">
        <v>25</v>
      </c>
      <c r="H53" s="4" t="s">
        <v>25</v>
      </c>
      <c r="I53" s="5">
        <v>44713</v>
      </c>
      <c r="J53" s="6">
        <v>0</v>
      </c>
      <c r="K53" s="6">
        <v>0</v>
      </c>
      <c r="L53" s="6">
        <v>5.58</v>
      </c>
      <c r="M53" s="6">
        <v>5.58</v>
      </c>
      <c r="N53" s="6">
        <v>5.58</v>
      </c>
      <c r="O53" s="6">
        <v>5.58</v>
      </c>
      <c r="P53" s="6">
        <v>14</v>
      </c>
      <c r="Q53" s="4" t="s">
        <v>26</v>
      </c>
      <c r="R53" s="4">
        <v>0</v>
      </c>
      <c r="S53" s="4">
        <v>0</v>
      </c>
      <c r="T53" s="4">
        <v>2</v>
      </c>
      <c r="U53" s="4">
        <v>38</v>
      </c>
      <c r="V53" s="6">
        <f>IF(ISERROR(VLOOKUP($S$53,'TAR FIN'!$A$1:$O$85,15,0)),0,VLOOKUP($S$53,'TAR FIN'!$A$1:$O$85,15,0))</f>
        <v>0</v>
      </c>
      <c r="W53" s="6">
        <f>IF(ISERROR(VLOOKUP($T$53,'TAR FIN'!$A$1:$O$85,15,0)),0,VLOOKUP($T$53,'TAR FIN'!$A$1:$O$85,15,0))</f>
        <v>190.95</v>
      </c>
      <c r="X53" s="6">
        <f>IF(ISERROR(VLOOKUP($U$53,'TAR FIN'!$A$1:$O$85,15,0)),0,VLOOKUP($U$53,'TAR FIN'!$A$1:$O$85,15,0))</f>
        <v>41.99</v>
      </c>
      <c r="Y53" s="6"/>
      <c r="Z53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53" s="6">
        <f>('TE BE'!$AB$11+'TE BF'!$AB$11+'TE CVA'!$AB$11)*(1-CUSTOS!$M$34)</f>
        <v>42.905233056198526</v>
      </c>
      <c r="AB53" s="6">
        <f t="shared" si="2"/>
        <v>0</v>
      </c>
      <c r="AC53" s="6">
        <f>(L53-M53)*(W53+X53)+($W$82+$X$82-$W$53-$X$53)*(L53)</f>
        <v>2413.8521999999998</v>
      </c>
      <c r="AD53" s="6">
        <f t="shared" si="4"/>
        <v>0</v>
      </c>
      <c r="AE53" s="6">
        <f ca="1">(L53-M53)*(Z53+AA53)+($Z$82+$AA$82-$Z$53-$AA$53)*(L53)</f>
        <v>2460.9651140776741</v>
      </c>
      <c r="AF53" s="4" t="s">
        <v>626</v>
      </c>
    </row>
    <row r="54" spans="1:32" ht="11.25" customHeight="1" x14ac:dyDescent="0.3">
      <c r="A54" s="4" t="s">
        <v>21</v>
      </c>
      <c r="B54" s="4" t="s">
        <v>22</v>
      </c>
      <c r="C54" s="4" t="s">
        <v>23</v>
      </c>
      <c r="D54" s="4" t="s">
        <v>24</v>
      </c>
      <c r="E54" s="4" t="s">
        <v>29</v>
      </c>
      <c r="F54" s="4" t="s">
        <v>25</v>
      </c>
      <c r="G54" s="4" t="s">
        <v>25</v>
      </c>
      <c r="H54" s="4" t="s">
        <v>25</v>
      </c>
      <c r="I54" s="5">
        <v>44743</v>
      </c>
      <c r="J54" s="6">
        <v>0</v>
      </c>
      <c r="K54" s="6">
        <v>0</v>
      </c>
      <c r="L54" s="6">
        <v>5.52</v>
      </c>
      <c r="M54" s="6">
        <v>5.52</v>
      </c>
      <c r="N54" s="6">
        <v>5.52</v>
      </c>
      <c r="O54" s="6">
        <v>5.52</v>
      </c>
      <c r="P54" s="6">
        <v>12</v>
      </c>
      <c r="Q54" s="4" t="s">
        <v>26</v>
      </c>
      <c r="R54" s="4">
        <v>0</v>
      </c>
      <c r="S54" s="4">
        <v>0</v>
      </c>
      <c r="T54" s="4">
        <v>2</v>
      </c>
      <c r="U54" s="4">
        <v>38</v>
      </c>
      <c r="V54" s="6">
        <f>IF(ISERROR(VLOOKUP($S$54,'TAR FIN'!$A$1:$O$85,15,0)),0,VLOOKUP($S$54,'TAR FIN'!$A$1:$O$85,15,0))</f>
        <v>0</v>
      </c>
      <c r="W54" s="6">
        <f>IF(ISERROR(VLOOKUP($T$54,'TAR FIN'!$A$1:$O$85,15,0)),0,VLOOKUP($T$54,'TAR FIN'!$A$1:$O$85,15,0))</f>
        <v>190.95</v>
      </c>
      <c r="X54" s="6">
        <f>IF(ISERROR(VLOOKUP($U$54,'TAR FIN'!$A$1:$O$85,15,0)),0,VLOOKUP($U$54,'TAR FIN'!$A$1:$O$85,15,0))</f>
        <v>41.99</v>
      </c>
      <c r="Y54" s="6"/>
      <c r="Z54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54" s="6">
        <f>('TE BE'!$AB$11+'TE BF'!$AB$11+'TE CVA'!$AB$11)*(1-CUSTOS!$M$34)</f>
        <v>42.905233056198526</v>
      </c>
      <c r="AB54" s="6">
        <f t="shared" si="2"/>
        <v>0</v>
      </c>
      <c r="AC54" s="6">
        <f>(L54-M54)*(W54+X54)+($W$82+$X$82-$W$54-$X$54)*(L54)</f>
        <v>2387.8967999999995</v>
      </c>
      <c r="AD54" s="6">
        <f t="shared" si="4"/>
        <v>0</v>
      </c>
      <c r="AE54" s="6">
        <f ca="1">(L54-M54)*(Z54+AA54)+($Z$82+$AA$82-$Z$54-$AA$54)*(L54)</f>
        <v>2434.5031236037207</v>
      </c>
      <c r="AF54" s="4" t="s">
        <v>626</v>
      </c>
    </row>
    <row r="55" spans="1:32" ht="11.25" customHeight="1" x14ac:dyDescent="0.3">
      <c r="A55" s="4" t="s">
        <v>52</v>
      </c>
      <c r="B55" s="4" t="s">
        <v>22</v>
      </c>
      <c r="C55" s="4" t="s">
        <v>23</v>
      </c>
      <c r="D55" s="4" t="s">
        <v>24</v>
      </c>
      <c r="E55" s="4" t="s">
        <v>29</v>
      </c>
      <c r="F55" s="4" t="s">
        <v>25</v>
      </c>
      <c r="G55" s="4" t="s">
        <v>25</v>
      </c>
      <c r="H55" s="4" t="s">
        <v>25</v>
      </c>
      <c r="I55" s="5">
        <v>44774</v>
      </c>
      <c r="J55" s="6">
        <v>0</v>
      </c>
      <c r="K55" s="6">
        <v>0</v>
      </c>
      <c r="L55" s="6">
        <v>5.52</v>
      </c>
      <c r="M55" s="6">
        <v>5.52</v>
      </c>
      <c r="N55" s="6">
        <v>5.52</v>
      </c>
      <c r="O55" s="6">
        <v>5.52</v>
      </c>
      <c r="P55" s="6">
        <v>12</v>
      </c>
      <c r="Q55" s="4" t="s">
        <v>26</v>
      </c>
      <c r="R55" s="4">
        <v>0</v>
      </c>
      <c r="S55" s="4">
        <v>0</v>
      </c>
      <c r="T55" s="4">
        <v>2</v>
      </c>
      <c r="U55" s="4">
        <v>38</v>
      </c>
      <c r="V55" s="6">
        <f>IF(ISERROR(VLOOKUP($S$55,'TAR FIN'!$A$1:$O$85,15,0)),0,VLOOKUP($S$55,'TAR FIN'!$A$1:$O$85,15,0))</f>
        <v>0</v>
      </c>
      <c r="W55" s="6">
        <f>IF(ISERROR(VLOOKUP($T$55,'TAR FIN'!$A$1:$O$85,15,0)),0,VLOOKUP($T$55,'TAR FIN'!$A$1:$O$85,15,0))</f>
        <v>190.95</v>
      </c>
      <c r="X55" s="6">
        <f>IF(ISERROR(VLOOKUP($U$55,'TAR FIN'!$A$1:$O$85,15,0)),0,VLOOKUP($U$55,'TAR FIN'!$A$1:$O$85,15,0))</f>
        <v>41.99</v>
      </c>
      <c r="Y55" s="6"/>
      <c r="Z55" s="6">
        <f ca="1">('TUSD BE'!$AM$21+'TUSD BF'!$AM$21+'TUSD CVA'!$AM$21-('TUSD BE'!$P$21+'TUSD BF'!$P$21+'TUSD CVA'!$P$21)-('TUSD BE'!$Q$21+'TUSD BF'!$Q$21+'TUSD CVA'!$Q$21)-('TUSD BE'!$R$21+'TUSD BF'!$R$21+'TUSD CVA'!$R$21))*(1-CUSTOS!$M$34)</f>
        <v>194.57416863312761</v>
      </c>
      <c r="AA55" s="6">
        <f>('TE BE'!$AB$11+'TE BF'!$AB$11+'TE CVA'!$AB$11)*(1-CUSTOS!$M$34)</f>
        <v>42.905233056198526</v>
      </c>
      <c r="AB55" s="6">
        <f t="shared" si="2"/>
        <v>0</v>
      </c>
      <c r="AC55" s="6">
        <f>(L55-M55)*(W55+X55)+($W$82+$X$82-$W$55-$X$55)*(L55)</f>
        <v>2387.8967999999995</v>
      </c>
      <c r="AD55" s="6">
        <f t="shared" si="4"/>
        <v>0</v>
      </c>
      <c r="AE55" s="6">
        <f ca="1">(L55-M55)*(Z55+AA55)+($Z$82+$AA$82-$Z$55-$AA$55)*(L55)</f>
        <v>2434.5031236037207</v>
      </c>
      <c r="AF55" s="4" t="s">
        <v>626</v>
      </c>
    </row>
    <row r="56" spans="1:32" ht="11.25" customHeight="1" x14ac:dyDescent="0.3">
      <c r="A56" s="4" t="s">
        <v>21</v>
      </c>
      <c r="B56" s="4" t="s">
        <v>22</v>
      </c>
      <c r="C56" s="4" t="s">
        <v>23</v>
      </c>
      <c r="D56" s="4" t="s">
        <v>24</v>
      </c>
      <c r="E56" s="4" t="s">
        <v>30</v>
      </c>
      <c r="F56" s="4" t="s">
        <v>25</v>
      </c>
      <c r="G56" s="4" t="s">
        <v>25</v>
      </c>
      <c r="H56" s="4" t="s">
        <v>25</v>
      </c>
      <c r="I56" s="5">
        <v>44440</v>
      </c>
      <c r="J56" s="6">
        <v>0</v>
      </c>
      <c r="K56" s="6">
        <v>0</v>
      </c>
      <c r="L56" s="6">
        <v>7.4210000000000003</v>
      </c>
      <c r="M56" s="6">
        <v>7.4210000000000003</v>
      </c>
      <c r="N56" s="6">
        <v>7.4210000000000003</v>
      </c>
      <c r="O56" s="6">
        <v>7.4210000000000003</v>
      </c>
      <c r="P56" s="6">
        <v>28</v>
      </c>
      <c r="Q56" s="4" t="s">
        <v>26</v>
      </c>
      <c r="R56" s="4">
        <v>0</v>
      </c>
      <c r="S56" s="4">
        <v>0</v>
      </c>
      <c r="T56" s="4">
        <v>4</v>
      </c>
      <c r="U56" s="4">
        <v>55</v>
      </c>
      <c r="V56" s="6">
        <f>IF(ISERROR(VLOOKUP($S$56,'TAR FIN'!$A$1:$O$85,15,0)),0,VLOOKUP($S$56,'TAR FIN'!$A$1:$O$85,15,0))</f>
        <v>0</v>
      </c>
      <c r="W56" s="6">
        <f>IF(ISERROR(VLOOKUP($T$56,'TAR FIN'!$A$1:$O$85,15,0)),0,VLOOKUP($T$56,'TAR FIN'!$A$1:$O$85,15,0))</f>
        <v>327.33999999999997</v>
      </c>
      <c r="X56" s="6">
        <f>IF(ISERROR(VLOOKUP($U$56,'TAR FIN'!$A$1:$O$85,15,0)),0,VLOOKUP($U$56,'TAR FIN'!$A$1:$O$85,15,0))</f>
        <v>71.98</v>
      </c>
      <c r="Y56" s="6"/>
      <c r="Z56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56" s="6">
        <f>('TE BE'!$AB$12+'TE BF'!$AB$12+'TE CVA'!$AB$12)*(1-CUSTOS!$M$35)</f>
        <v>73.55182809634033</v>
      </c>
      <c r="AB56" s="6">
        <f t="shared" si="2"/>
        <v>0</v>
      </c>
      <c r="AC56" s="6">
        <f>(L56-M56)*(W56+X56)+($W$82+$X$82-$W$56-$X$56)*(L56)</f>
        <v>1975.54441</v>
      </c>
      <c r="AD56" s="6">
        <f t="shared" si="4"/>
        <v>0</v>
      </c>
      <c r="AE56" s="6">
        <f ca="1">(L56-M56)*(Z56+AA56)+($Z$82+$AA$82-$Z$56-$AA$56)*(L56)</f>
        <v>2014.0967313559881</v>
      </c>
      <c r="AF56" s="4" t="s">
        <v>626</v>
      </c>
    </row>
    <row r="57" spans="1:32" ht="11.25" customHeight="1" x14ac:dyDescent="0.3">
      <c r="A57" s="4" t="s">
        <v>21</v>
      </c>
      <c r="B57" s="4" t="s">
        <v>22</v>
      </c>
      <c r="C57" s="4" t="s">
        <v>23</v>
      </c>
      <c r="D57" s="4" t="s">
        <v>24</v>
      </c>
      <c r="E57" s="4" t="s">
        <v>30</v>
      </c>
      <c r="F57" s="4" t="s">
        <v>25</v>
      </c>
      <c r="G57" s="4" t="s">
        <v>25</v>
      </c>
      <c r="H57" s="4" t="s">
        <v>25</v>
      </c>
      <c r="I57" s="5">
        <v>44470</v>
      </c>
      <c r="J57" s="6">
        <v>0</v>
      </c>
      <c r="K57" s="6">
        <v>0</v>
      </c>
      <c r="L57" s="6">
        <v>8.0079999999999991</v>
      </c>
      <c r="M57" s="6">
        <v>8.0079999999999991</v>
      </c>
      <c r="N57" s="6">
        <v>8.0079999999999991</v>
      </c>
      <c r="O57" s="6">
        <v>8.0079999999999991</v>
      </c>
      <c r="P57" s="6">
        <v>30</v>
      </c>
      <c r="Q57" s="4" t="s">
        <v>26</v>
      </c>
      <c r="R57" s="4">
        <v>0</v>
      </c>
      <c r="S57" s="4">
        <v>0</v>
      </c>
      <c r="T57" s="4">
        <v>4</v>
      </c>
      <c r="U57" s="4">
        <v>55</v>
      </c>
      <c r="V57" s="6">
        <f>IF(ISERROR(VLOOKUP($S$57,'TAR FIN'!$A$1:$O$85,15,0)),0,VLOOKUP($S$57,'TAR FIN'!$A$1:$O$85,15,0))</f>
        <v>0</v>
      </c>
      <c r="W57" s="6">
        <f>IF(ISERROR(VLOOKUP($T$57,'TAR FIN'!$A$1:$O$85,15,0)),0,VLOOKUP($T$57,'TAR FIN'!$A$1:$O$85,15,0))</f>
        <v>327.33999999999997</v>
      </c>
      <c r="X57" s="6">
        <f>IF(ISERROR(VLOOKUP($U$57,'TAR FIN'!$A$1:$O$85,15,0)),0,VLOOKUP($U$57,'TAR FIN'!$A$1:$O$85,15,0))</f>
        <v>71.98</v>
      </c>
      <c r="Y57" s="6"/>
      <c r="Z57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57" s="6">
        <f>('TE BE'!$AB$12+'TE BF'!$AB$12+'TE CVA'!$AB$12)*(1-CUSTOS!$M$35)</f>
        <v>73.55182809634033</v>
      </c>
      <c r="AB57" s="6">
        <f t="shared" si="2"/>
        <v>0</v>
      </c>
      <c r="AC57" s="6">
        <f>(L57-M57)*(W57+X57)+($W$82+$X$82-$W$57-$X$57)*(L57)</f>
        <v>2131.8096799999994</v>
      </c>
      <c r="AD57" s="6">
        <f t="shared" si="4"/>
        <v>0</v>
      </c>
      <c r="AE57" s="6">
        <f ca="1">(L57-M57)*(Z57+AA57)+($Z$82+$AA$82-$Z$57-$AA$57)*(L57)</f>
        <v>2173.4114842607132</v>
      </c>
      <c r="AF57" s="4" t="s">
        <v>626</v>
      </c>
    </row>
    <row r="58" spans="1:32" ht="11.25" customHeight="1" x14ac:dyDescent="0.3">
      <c r="A58" s="4" t="s">
        <v>21</v>
      </c>
      <c r="B58" s="4" t="s">
        <v>22</v>
      </c>
      <c r="C58" s="4" t="s">
        <v>23</v>
      </c>
      <c r="D58" s="4" t="s">
        <v>24</v>
      </c>
      <c r="E58" s="4" t="s">
        <v>30</v>
      </c>
      <c r="F58" s="4" t="s">
        <v>25</v>
      </c>
      <c r="G58" s="4" t="s">
        <v>25</v>
      </c>
      <c r="H58" s="4" t="s">
        <v>25</v>
      </c>
      <c r="I58" s="5">
        <v>44501</v>
      </c>
      <c r="J58" s="6">
        <v>0</v>
      </c>
      <c r="K58" s="6">
        <v>0</v>
      </c>
      <c r="L58" s="6">
        <v>8.048</v>
      </c>
      <c r="M58" s="6">
        <v>8.048</v>
      </c>
      <c r="N58" s="6">
        <v>8.048</v>
      </c>
      <c r="O58" s="6">
        <v>8.048</v>
      </c>
      <c r="P58" s="6">
        <v>31</v>
      </c>
      <c r="Q58" s="4" t="s">
        <v>26</v>
      </c>
      <c r="R58" s="4">
        <v>0</v>
      </c>
      <c r="S58" s="4">
        <v>0</v>
      </c>
      <c r="T58" s="4">
        <v>4</v>
      </c>
      <c r="U58" s="4">
        <v>55</v>
      </c>
      <c r="V58" s="6">
        <f>IF(ISERROR(VLOOKUP($S$58,'TAR FIN'!$A$1:$O$85,15,0)),0,VLOOKUP($S$58,'TAR FIN'!$A$1:$O$85,15,0))</f>
        <v>0</v>
      </c>
      <c r="W58" s="6">
        <f>IF(ISERROR(VLOOKUP($T$58,'TAR FIN'!$A$1:$O$85,15,0)),0,VLOOKUP($T$58,'TAR FIN'!$A$1:$O$85,15,0))</f>
        <v>327.33999999999997</v>
      </c>
      <c r="X58" s="6">
        <f>IF(ISERROR(VLOOKUP($U$58,'TAR FIN'!$A$1:$O$85,15,0)),0,VLOOKUP($U$58,'TAR FIN'!$A$1:$O$85,15,0))</f>
        <v>71.98</v>
      </c>
      <c r="Y58" s="6"/>
      <c r="Z58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58" s="6">
        <f>('TE BE'!$AB$12+'TE BF'!$AB$12+'TE CVA'!$AB$12)*(1-CUSTOS!$M$35)</f>
        <v>73.55182809634033</v>
      </c>
      <c r="AB58" s="6">
        <f t="shared" si="2"/>
        <v>0</v>
      </c>
      <c r="AC58" s="6">
        <f>(L58-M58)*(W58+X58)+($W$82+$X$82-$W$58-$X$58)*(L58)</f>
        <v>2142.4580799999999</v>
      </c>
      <c r="AD58" s="6">
        <f t="shared" si="4"/>
        <v>0</v>
      </c>
      <c r="AE58" s="6">
        <f ca="1">(L58-M58)*(Z58+AA58)+($Z$82+$AA$82-$Z$58-$AA$58)*(L58)</f>
        <v>2184.2676854807969</v>
      </c>
      <c r="AF58" s="4" t="s">
        <v>626</v>
      </c>
    </row>
    <row r="59" spans="1:32" ht="11.25" customHeight="1" x14ac:dyDescent="0.3">
      <c r="A59" s="4" t="s">
        <v>21</v>
      </c>
      <c r="B59" s="4" t="s">
        <v>22</v>
      </c>
      <c r="C59" s="4" t="s">
        <v>23</v>
      </c>
      <c r="D59" s="4" t="s">
        <v>24</v>
      </c>
      <c r="E59" s="4" t="s">
        <v>30</v>
      </c>
      <c r="F59" s="4" t="s">
        <v>25</v>
      </c>
      <c r="G59" s="4" t="s">
        <v>25</v>
      </c>
      <c r="H59" s="4" t="s">
        <v>25</v>
      </c>
      <c r="I59" s="5">
        <v>44531</v>
      </c>
      <c r="J59" s="6">
        <v>0</v>
      </c>
      <c r="K59" s="6">
        <v>0</v>
      </c>
      <c r="L59" s="6">
        <v>8.4770000000000003</v>
      </c>
      <c r="M59" s="6">
        <v>8.4770000000000003</v>
      </c>
      <c r="N59" s="6">
        <v>8.4770000000000003</v>
      </c>
      <c r="O59" s="6">
        <v>8.4770000000000003</v>
      </c>
      <c r="P59" s="6">
        <v>27</v>
      </c>
      <c r="Q59" s="4" t="s">
        <v>26</v>
      </c>
      <c r="R59" s="4">
        <v>0</v>
      </c>
      <c r="S59" s="4">
        <v>0</v>
      </c>
      <c r="T59" s="4">
        <v>4</v>
      </c>
      <c r="U59" s="4">
        <v>55</v>
      </c>
      <c r="V59" s="6">
        <f>IF(ISERROR(VLOOKUP($S$59,'TAR FIN'!$A$1:$O$85,15,0)),0,VLOOKUP($S$59,'TAR FIN'!$A$1:$O$85,15,0))</f>
        <v>0</v>
      </c>
      <c r="W59" s="6">
        <f>IF(ISERROR(VLOOKUP($T$59,'TAR FIN'!$A$1:$O$85,15,0)),0,VLOOKUP($T$59,'TAR FIN'!$A$1:$O$85,15,0))</f>
        <v>327.33999999999997</v>
      </c>
      <c r="X59" s="6">
        <f>IF(ISERROR(VLOOKUP($U$59,'TAR FIN'!$A$1:$O$85,15,0)),0,VLOOKUP($U$59,'TAR FIN'!$A$1:$O$85,15,0))</f>
        <v>71.98</v>
      </c>
      <c r="Y59" s="6"/>
      <c r="Z59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59" s="6">
        <f>('TE BE'!$AB$12+'TE BF'!$AB$12+'TE CVA'!$AB$12)*(1-CUSTOS!$M$35)</f>
        <v>73.55182809634033</v>
      </c>
      <c r="AB59" s="6">
        <f t="shared" si="2"/>
        <v>0</v>
      </c>
      <c r="AC59" s="6">
        <f>(L59-M59)*(W59+X59)+($W$82+$X$82-$W$59-$X$59)*(L59)</f>
        <v>2256.6621700000001</v>
      </c>
      <c r="AD59" s="6">
        <f t="shared" si="4"/>
        <v>0</v>
      </c>
      <c r="AE59" s="6">
        <f ca="1">(L59-M59)*(Z59+AA59)+($Z$82+$AA$82-$Z$59-$AA$59)*(L59)</f>
        <v>2300.700443566192</v>
      </c>
      <c r="AF59" s="4" t="s">
        <v>626</v>
      </c>
    </row>
    <row r="60" spans="1:32" ht="11.25" customHeight="1" x14ac:dyDescent="0.3">
      <c r="A60" s="4" t="s">
        <v>21</v>
      </c>
      <c r="B60" s="4" t="s">
        <v>22</v>
      </c>
      <c r="C60" s="4" t="s">
        <v>23</v>
      </c>
      <c r="D60" s="4" t="s">
        <v>24</v>
      </c>
      <c r="E60" s="4" t="s">
        <v>30</v>
      </c>
      <c r="F60" s="4" t="s">
        <v>25</v>
      </c>
      <c r="G60" s="4" t="s">
        <v>25</v>
      </c>
      <c r="H60" s="4" t="s">
        <v>25</v>
      </c>
      <c r="I60" s="5">
        <v>44562</v>
      </c>
      <c r="J60" s="6">
        <v>0</v>
      </c>
      <c r="K60" s="6">
        <v>0</v>
      </c>
      <c r="L60" s="6">
        <v>8.7029999999999994</v>
      </c>
      <c r="M60" s="6">
        <v>8.7029999999999994</v>
      </c>
      <c r="N60" s="6">
        <v>8.7029999999999994</v>
      </c>
      <c r="O60" s="6">
        <v>8.7029999999999994</v>
      </c>
      <c r="P60" s="6">
        <v>23</v>
      </c>
      <c r="Q60" s="4" t="s">
        <v>26</v>
      </c>
      <c r="R60" s="4">
        <v>0</v>
      </c>
      <c r="S60" s="4">
        <v>0</v>
      </c>
      <c r="T60" s="4">
        <v>4</v>
      </c>
      <c r="U60" s="4">
        <v>55</v>
      </c>
      <c r="V60" s="6">
        <f>IF(ISERROR(VLOOKUP($S$60,'TAR FIN'!$A$1:$O$85,15,0)),0,VLOOKUP($S$60,'TAR FIN'!$A$1:$O$85,15,0))</f>
        <v>0</v>
      </c>
      <c r="W60" s="6">
        <f>IF(ISERROR(VLOOKUP($T$60,'TAR FIN'!$A$1:$O$85,15,0)),0,VLOOKUP($T$60,'TAR FIN'!$A$1:$O$85,15,0))</f>
        <v>327.33999999999997</v>
      </c>
      <c r="X60" s="6">
        <f>IF(ISERROR(VLOOKUP($U$60,'TAR FIN'!$A$1:$O$85,15,0)),0,VLOOKUP($U$60,'TAR FIN'!$A$1:$O$85,15,0))</f>
        <v>71.98</v>
      </c>
      <c r="Y60" s="6"/>
      <c r="Z60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60" s="6">
        <f>('TE BE'!$AB$12+'TE BF'!$AB$12+'TE CVA'!$AB$12)*(1-CUSTOS!$M$35)</f>
        <v>73.55182809634033</v>
      </c>
      <c r="AB60" s="6">
        <f t="shared" si="2"/>
        <v>0</v>
      </c>
      <c r="AC60" s="6">
        <f>(L60-M60)*(W60+X60)+($W$82+$X$82-$W$60-$X$60)*(L60)</f>
        <v>2316.8256299999998</v>
      </c>
      <c r="AD60" s="6">
        <f t="shared" si="4"/>
        <v>0</v>
      </c>
      <c r="AE60" s="6">
        <f ca="1">(L60-M60)*(Z60+AA60)+($Z$82+$AA$82-$Z$60-$AA$60)*(L60)</f>
        <v>2362.0379804596637</v>
      </c>
      <c r="AF60" s="4" t="s">
        <v>626</v>
      </c>
    </row>
    <row r="61" spans="1:32" ht="11.25" customHeight="1" x14ac:dyDescent="0.3">
      <c r="A61" s="4" t="s">
        <v>21</v>
      </c>
      <c r="B61" s="4" t="s">
        <v>22</v>
      </c>
      <c r="C61" s="4" t="s">
        <v>23</v>
      </c>
      <c r="D61" s="4" t="s">
        <v>24</v>
      </c>
      <c r="E61" s="4" t="s">
        <v>30</v>
      </c>
      <c r="F61" s="4" t="s">
        <v>25</v>
      </c>
      <c r="G61" s="4" t="s">
        <v>25</v>
      </c>
      <c r="H61" s="4" t="s">
        <v>25</v>
      </c>
      <c r="I61" s="5">
        <v>44593</v>
      </c>
      <c r="J61" s="6">
        <v>0</v>
      </c>
      <c r="K61" s="6">
        <v>0</v>
      </c>
      <c r="L61" s="6">
        <v>9.3819999999999997</v>
      </c>
      <c r="M61" s="6">
        <v>9.3819999999999997</v>
      </c>
      <c r="N61" s="6">
        <v>9.3819999999999997</v>
      </c>
      <c r="O61" s="6">
        <v>9.3819999999999997</v>
      </c>
      <c r="P61" s="6">
        <v>17</v>
      </c>
      <c r="Q61" s="4" t="s">
        <v>26</v>
      </c>
      <c r="R61" s="4">
        <v>0</v>
      </c>
      <c r="S61" s="4">
        <v>0</v>
      </c>
      <c r="T61" s="4">
        <v>4</v>
      </c>
      <c r="U61" s="4">
        <v>55</v>
      </c>
      <c r="V61" s="6">
        <f>IF(ISERROR(VLOOKUP($S$61,'TAR FIN'!$A$1:$O$85,15,0)),0,VLOOKUP($S$61,'TAR FIN'!$A$1:$O$85,15,0))</f>
        <v>0</v>
      </c>
      <c r="W61" s="6">
        <f>IF(ISERROR(VLOOKUP($T$61,'TAR FIN'!$A$1:$O$85,15,0)),0,VLOOKUP($T$61,'TAR FIN'!$A$1:$O$85,15,0))</f>
        <v>327.33999999999997</v>
      </c>
      <c r="X61" s="6">
        <f>IF(ISERROR(VLOOKUP($U$61,'TAR FIN'!$A$1:$O$85,15,0)),0,VLOOKUP($U$61,'TAR FIN'!$A$1:$O$85,15,0))</f>
        <v>71.98</v>
      </c>
      <c r="Y61" s="6"/>
      <c r="Z61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61" s="6">
        <f>('TE BE'!$AB$12+'TE BF'!$AB$12+'TE CVA'!$AB$12)*(1-CUSTOS!$M$35)</f>
        <v>73.55182809634033</v>
      </c>
      <c r="AB61" s="6">
        <f t="shared" si="2"/>
        <v>0</v>
      </c>
      <c r="AC61" s="6">
        <f>(L61-M61)*(W61+X61)+($W$82+$X$82-$W$61-$X$61)*(L61)</f>
        <v>2497.5822199999998</v>
      </c>
      <c r="AD61" s="6">
        <f t="shared" si="4"/>
        <v>0</v>
      </c>
      <c r="AE61" s="6">
        <f ca="1">(L61-M61)*(Z61+AA61)+($Z$82+$AA$82-$Z$61-$AA$61)*(L61)</f>
        <v>2546.3219961705809</v>
      </c>
      <c r="AF61" s="4" t="s">
        <v>626</v>
      </c>
    </row>
    <row r="62" spans="1:32" ht="11.25" customHeight="1" x14ac:dyDescent="0.3">
      <c r="A62" s="4" t="s">
        <v>21</v>
      </c>
      <c r="B62" s="4" t="s">
        <v>22</v>
      </c>
      <c r="C62" s="4" t="s">
        <v>23</v>
      </c>
      <c r="D62" s="4" t="s">
        <v>24</v>
      </c>
      <c r="E62" s="4" t="s">
        <v>30</v>
      </c>
      <c r="F62" s="4" t="s">
        <v>25</v>
      </c>
      <c r="G62" s="4" t="s">
        <v>25</v>
      </c>
      <c r="H62" s="4" t="s">
        <v>25</v>
      </c>
      <c r="I62" s="5">
        <v>44621</v>
      </c>
      <c r="J62" s="6">
        <v>0</v>
      </c>
      <c r="K62" s="6">
        <v>0</v>
      </c>
      <c r="L62" s="6">
        <v>9.3979999999999997</v>
      </c>
      <c r="M62" s="6">
        <v>9.3979999999999997</v>
      </c>
      <c r="N62" s="6">
        <v>9.3979999999999997</v>
      </c>
      <c r="O62" s="6">
        <v>9.3979999999999997</v>
      </c>
      <c r="P62" s="6">
        <v>20</v>
      </c>
      <c r="Q62" s="4" t="s">
        <v>26</v>
      </c>
      <c r="R62" s="4">
        <v>0</v>
      </c>
      <c r="S62" s="4">
        <v>0</v>
      </c>
      <c r="T62" s="4">
        <v>4</v>
      </c>
      <c r="U62" s="4">
        <v>55</v>
      </c>
      <c r="V62" s="6">
        <f>IF(ISERROR(VLOOKUP($S$62,'TAR FIN'!$A$1:$O$85,15,0)),0,VLOOKUP($S$62,'TAR FIN'!$A$1:$O$85,15,0))</f>
        <v>0</v>
      </c>
      <c r="W62" s="6">
        <f>IF(ISERROR(VLOOKUP($T$62,'TAR FIN'!$A$1:$O$85,15,0)),0,VLOOKUP($T$62,'TAR FIN'!$A$1:$O$85,15,0))</f>
        <v>327.33999999999997</v>
      </c>
      <c r="X62" s="6">
        <f>IF(ISERROR(VLOOKUP($U$62,'TAR FIN'!$A$1:$O$85,15,0)),0,VLOOKUP($U$62,'TAR FIN'!$A$1:$O$85,15,0))</f>
        <v>71.98</v>
      </c>
      <c r="Y62" s="6"/>
      <c r="Z62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62" s="6">
        <f>('TE BE'!$AB$12+'TE BF'!$AB$12+'TE CVA'!$AB$12)*(1-CUSTOS!$M$35)</f>
        <v>73.55182809634033</v>
      </c>
      <c r="AB62" s="6">
        <f t="shared" si="2"/>
        <v>0</v>
      </c>
      <c r="AC62" s="6">
        <f>(L62-M62)*(W62+X62)+($W$82+$X$82-$W$62-$X$62)*(L62)</f>
        <v>2501.8415799999998</v>
      </c>
      <c r="AD62" s="6">
        <f t="shared" si="4"/>
        <v>0</v>
      </c>
      <c r="AE62" s="6">
        <f ca="1">(L62-M62)*(Z62+AA62)+($Z$82+$AA$82-$Z$62-$AA$62)*(L62)</f>
        <v>2550.6644766586141</v>
      </c>
      <c r="AF62" s="4" t="s">
        <v>626</v>
      </c>
    </row>
    <row r="63" spans="1:32" ht="11.25" customHeight="1" x14ac:dyDescent="0.3">
      <c r="A63" s="4" t="s">
        <v>27</v>
      </c>
      <c r="B63" s="4" t="s">
        <v>22</v>
      </c>
      <c r="C63" s="4" t="s">
        <v>23</v>
      </c>
      <c r="D63" s="4" t="s">
        <v>24</v>
      </c>
      <c r="E63" s="4" t="s">
        <v>30</v>
      </c>
      <c r="F63" s="4" t="s">
        <v>25</v>
      </c>
      <c r="G63" s="4" t="s">
        <v>25</v>
      </c>
      <c r="H63" s="4" t="s">
        <v>25</v>
      </c>
      <c r="I63" s="5">
        <v>44621</v>
      </c>
      <c r="J63" s="6">
        <v>0</v>
      </c>
      <c r="K63" s="6">
        <v>0</v>
      </c>
      <c r="L63" s="6">
        <v>7.0000000000000007E-2</v>
      </c>
      <c r="M63" s="6">
        <v>7.0000000000000007E-2</v>
      </c>
      <c r="N63" s="6">
        <v>7.0000000000000007E-2</v>
      </c>
      <c r="O63" s="6">
        <v>7.0000000000000007E-2</v>
      </c>
      <c r="P63" s="6">
        <v>0</v>
      </c>
      <c r="Q63" s="4" t="s">
        <v>26</v>
      </c>
      <c r="R63" s="4">
        <v>0</v>
      </c>
      <c r="S63" s="4">
        <v>0</v>
      </c>
      <c r="T63" s="4">
        <v>4</v>
      </c>
      <c r="U63" s="4">
        <v>55</v>
      </c>
      <c r="V63" s="6">
        <f>IF(ISERROR(VLOOKUP($S$63,'TAR FIN'!$A$1:$O$85,15,0)),0,VLOOKUP($S$63,'TAR FIN'!$A$1:$O$85,15,0))</f>
        <v>0</v>
      </c>
      <c r="W63" s="6">
        <f>IF(ISERROR(VLOOKUP($T$63,'TAR FIN'!$A$1:$O$85,15,0)),0,VLOOKUP($T$63,'TAR FIN'!$A$1:$O$85,15,0))</f>
        <v>327.33999999999997</v>
      </c>
      <c r="X63" s="6">
        <f>IF(ISERROR(VLOOKUP($U$63,'TAR FIN'!$A$1:$O$85,15,0)),0,VLOOKUP($U$63,'TAR FIN'!$A$1:$O$85,15,0))</f>
        <v>71.98</v>
      </c>
      <c r="Y63" s="6"/>
      <c r="Z63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63" s="6">
        <f>('TE BE'!$AB$12+'TE BF'!$AB$12+'TE CVA'!$AB$12)*(1-CUSTOS!$M$35)</f>
        <v>73.55182809634033</v>
      </c>
      <c r="AB63" s="6">
        <f t="shared" si="2"/>
        <v>0</v>
      </c>
      <c r="AC63" s="6">
        <f>(L63-M63)*(W63+X63)+($W$82+$X$82-$W$63-$X$63)*(L63)</f>
        <v>18.634699999999999</v>
      </c>
      <c r="AD63" s="6">
        <f t="shared" si="4"/>
        <v>0</v>
      </c>
      <c r="AE63" s="6">
        <f ca="1">(L63-M63)*(Z63+AA63)+($Z$82+$AA$82-$Z$63-$AA$63)*(L63)</f>
        <v>18.998352135146096</v>
      </c>
      <c r="AF63" s="4" t="s">
        <v>626</v>
      </c>
    </row>
    <row r="64" spans="1:32" ht="11.25" customHeight="1" x14ac:dyDescent="0.3">
      <c r="A64" s="4" t="s">
        <v>21</v>
      </c>
      <c r="B64" s="4" t="s">
        <v>22</v>
      </c>
      <c r="C64" s="4" t="s">
        <v>23</v>
      </c>
      <c r="D64" s="4" t="s">
        <v>24</v>
      </c>
      <c r="E64" s="4" t="s">
        <v>30</v>
      </c>
      <c r="F64" s="4" t="s">
        <v>25</v>
      </c>
      <c r="G64" s="4" t="s">
        <v>25</v>
      </c>
      <c r="H64" s="4" t="s">
        <v>25</v>
      </c>
      <c r="I64" s="5">
        <v>44652</v>
      </c>
      <c r="J64" s="6">
        <v>0</v>
      </c>
      <c r="K64" s="6">
        <v>0</v>
      </c>
      <c r="L64" s="6">
        <v>10.208</v>
      </c>
      <c r="M64" s="6">
        <v>10.208</v>
      </c>
      <c r="N64" s="6">
        <v>10.208</v>
      </c>
      <c r="O64" s="6">
        <v>10.208</v>
      </c>
      <c r="P64" s="6">
        <v>32</v>
      </c>
      <c r="Q64" s="4" t="s">
        <v>26</v>
      </c>
      <c r="R64" s="4">
        <v>0</v>
      </c>
      <c r="S64" s="4">
        <v>0</v>
      </c>
      <c r="T64" s="4">
        <v>4</v>
      </c>
      <c r="U64" s="4">
        <v>55</v>
      </c>
      <c r="V64" s="6">
        <f>IF(ISERROR(VLOOKUP($S$64,'TAR FIN'!$A$1:$O$85,15,0)),0,VLOOKUP($S$64,'TAR FIN'!$A$1:$O$85,15,0))</f>
        <v>0</v>
      </c>
      <c r="W64" s="6">
        <f>IF(ISERROR(VLOOKUP($T$64,'TAR FIN'!$A$1:$O$85,15,0)),0,VLOOKUP($T$64,'TAR FIN'!$A$1:$O$85,15,0))</f>
        <v>327.33999999999997</v>
      </c>
      <c r="X64" s="6">
        <f>IF(ISERROR(VLOOKUP($U$64,'TAR FIN'!$A$1:$O$85,15,0)),0,VLOOKUP($U$64,'TAR FIN'!$A$1:$O$85,15,0))</f>
        <v>71.98</v>
      </c>
      <c r="Y64" s="6"/>
      <c r="Z64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64" s="6">
        <f>('TE BE'!$AB$12+'TE BF'!$AB$12+'TE CVA'!$AB$12)*(1-CUSTOS!$M$35)</f>
        <v>73.55182809634033</v>
      </c>
      <c r="AB64" s="6">
        <f t="shared" si="2"/>
        <v>0</v>
      </c>
      <c r="AC64" s="6">
        <f>(L64-M64)*(W64+X64)+($W$82+$X$82-$W$64-$X$64)*(L64)</f>
        <v>2717.4716799999997</v>
      </c>
      <c r="AD64" s="6">
        <f t="shared" si="4"/>
        <v>0</v>
      </c>
      <c r="AE64" s="6">
        <f ca="1">(L64-M64)*(Z64+AA64)+($Z$82+$AA$82-$Z$64-$AA$64)*(L64)</f>
        <v>2770.502551365305</v>
      </c>
      <c r="AF64" s="4" t="s">
        <v>626</v>
      </c>
    </row>
    <row r="65" spans="1:32" ht="11.25" customHeight="1" x14ac:dyDescent="0.3">
      <c r="A65" s="4" t="s">
        <v>21</v>
      </c>
      <c r="B65" s="4" t="s">
        <v>22</v>
      </c>
      <c r="C65" s="4" t="s">
        <v>23</v>
      </c>
      <c r="D65" s="4" t="s">
        <v>24</v>
      </c>
      <c r="E65" s="4" t="s">
        <v>30</v>
      </c>
      <c r="F65" s="4" t="s">
        <v>25</v>
      </c>
      <c r="G65" s="4" t="s">
        <v>25</v>
      </c>
      <c r="H65" s="4" t="s">
        <v>25</v>
      </c>
      <c r="I65" s="5">
        <v>44682</v>
      </c>
      <c r="J65" s="6">
        <v>0</v>
      </c>
      <c r="K65" s="6">
        <v>0</v>
      </c>
      <c r="L65" s="6">
        <v>11.129</v>
      </c>
      <c r="M65" s="6">
        <v>11.129</v>
      </c>
      <c r="N65" s="6">
        <v>11.129</v>
      </c>
      <c r="O65" s="6">
        <v>11.129</v>
      </c>
      <c r="P65" s="6">
        <v>31</v>
      </c>
      <c r="Q65" s="4" t="s">
        <v>26</v>
      </c>
      <c r="R65" s="4">
        <v>0</v>
      </c>
      <c r="S65" s="4">
        <v>0</v>
      </c>
      <c r="T65" s="4">
        <v>4</v>
      </c>
      <c r="U65" s="4">
        <v>55</v>
      </c>
      <c r="V65" s="6">
        <f>IF(ISERROR(VLOOKUP($S$65,'TAR FIN'!$A$1:$O$85,15,0)),0,VLOOKUP($S$65,'TAR FIN'!$A$1:$O$85,15,0))</f>
        <v>0</v>
      </c>
      <c r="W65" s="6">
        <f>IF(ISERROR(VLOOKUP($T$65,'TAR FIN'!$A$1:$O$85,15,0)),0,VLOOKUP($T$65,'TAR FIN'!$A$1:$O$85,15,0))</f>
        <v>327.33999999999997</v>
      </c>
      <c r="X65" s="6">
        <f>IF(ISERROR(VLOOKUP($U$65,'TAR FIN'!$A$1:$O$85,15,0)),0,VLOOKUP($U$65,'TAR FIN'!$A$1:$O$85,15,0))</f>
        <v>71.98</v>
      </c>
      <c r="Y65" s="6"/>
      <c r="Z65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65" s="6">
        <f>('TE BE'!$AB$12+'TE BF'!$AB$12+'TE CVA'!$AB$12)*(1-CUSTOS!$M$35)</f>
        <v>73.55182809634033</v>
      </c>
      <c r="AB65" s="6">
        <f t="shared" si="2"/>
        <v>0</v>
      </c>
      <c r="AC65" s="6">
        <f>(L65-M65)*(W65+X65)+($W$82+$X$82-$W$65-$X$65)*(L65)</f>
        <v>2962.6510899999998</v>
      </c>
      <c r="AD65" s="6">
        <f t="shared" si="4"/>
        <v>0</v>
      </c>
      <c r="AE65" s="6">
        <f ca="1">(L65-M65)*(Z65+AA65)+($Z$82+$AA$82-$Z$65-$AA$65)*(L65)</f>
        <v>3020.4665844577271</v>
      </c>
      <c r="AF65" s="4" t="s">
        <v>626</v>
      </c>
    </row>
    <row r="66" spans="1:32" ht="11.25" customHeight="1" x14ac:dyDescent="0.3">
      <c r="A66" s="4" t="s">
        <v>21</v>
      </c>
      <c r="B66" s="4" t="s">
        <v>22</v>
      </c>
      <c r="C66" s="4" t="s">
        <v>23</v>
      </c>
      <c r="D66" s="4" t="s">
        <v>24</v>
      </c>
      <c r="E66" s="4" t="s">
        <v>30</v>
      </c>
      <c r="F66" s="4" t="s">
        <v>25</v>
      </c>
      <c r="G66" s="4" t="s">
        <v>25</v>
      </c>
      <c r="H66" s="4" t="s">
        <v>25</v>
      </c>
      <c r="I66" s="5">
        <v>44713</v>
      </c>
      <c r="J66" s="6">
        <v>0</v>
      </c>
      <c r="K66" s="6">
        <v>0</v>
      </c>
      <c r="L66" s="6">
        <v>11.378</v>
      </c>
      <c r="M66" s="6">
        <v>11.378</v>
      </c>
      <c r="N66" s="6">
        <v>11.378</v>
      </c>
      <c r="O66" s="6">
        <v>11.378</v>
      </c>
      <c r="P66" s="6">
        <v>27</v>
      </c>
      <c r="Q66" s="4" t="s">
        <v>26</v>
      </c>
      <c r="R66" s="4">
        <v>0</v>
      </c>
      <c r="S66" s="4">
        <v>0</v>
      </c>
      <c r="T66" s="4">
        <v>4</v>
      </c>
      <c r="U66" s="4">
        <v>55</v>
      </c>
      <c r="V66" s="6">
        <f>IF(ISERROR(VLOOKUP($S$66,'TAR FIN'!$A$1:$O$85,15,0)),0,VLOOKUP($S$66,'TAR FIN'!$A$1:$O$85,15,0))</f>
        <v>0</v>
      </c>
      <c r="W66" s="6">
        <f>IF(ISERROR(VLOOKUP($T$66,'TAR FIN'!$A$1:$O$85,15,0)),0,VLOOKUP($T$66,'TAR FIN'!$A$1:$O$85,15,0))</f>
        <v>327.33999999999997</v>
      </c>
      <c r="X66" s="6">
        <f>IF(ISERROR(VLOOKUP($U$66,'TAR FIN'!$A$1:$O$85,15,0)),0,VLOOKUP($U$66,'TAR FIN'!$A$1:$O$85,15,0))</f>
        <v>71.98</v>
      </c>
      <c r="Y66" s="6"/>
      <c r="Z66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66" s="6">
        <f>('TE BE'!$AB$12+'TE BF'!$AB$12+'TE CVA'!$AB$12)*(1-CUSTOS!$M$35)</f>
        <v>73.55182809634033</v>
      </c>
      <c r="AB66" s="6">
        <f t="shared" ref="AB66:AB97" si="6">(J66-K66)*V66</f>
        <v>0</v>
      </c>
      <c r="AC66" s="6">
        <f>(L66-M66)*(W66+X66)+($W$82+$X$82-$W$66-$X$66)*(L66)</f>
        <v>3028.9373799999998</v>
      </c>
      <c r="AD66" s="6">
        <f t="shared" ref="AD66:AD97" si="7">(J66-K66)*Y66</f>
        <v>0</v>
      </c>
      <c r="AE66" s="6">
        <f ca="1">(L66-M66)*(Z66+AA66)+($Z$82+$AA$82-$Z$66-$AA$66)*(L66)</f>
        <v>3088.0464370527466</v>
      </c>
      <c r="AF66" s="4" t="s">
        <v>626</v>
      </c>
    </row>
    <row r="67" spans="1:32" ht="11.25" customHeight="1" x14ac:dyDescent="0.3">
      <c r="A67" s="4" t="s">
        <v>21</v>
      </c>
      <c r="B67" s="4" t="s">
        <v>22</v>
      </c>
      <c r="C67" s="4" t="s">
        <v>23</v>
      </c>
      <c r="D67" s="4" t="s">
        <v>24</v>
      </c>
      <c r="E67" s="4" t="s">
        <v>30</v>
      </c>
      <c r="F67" s="4" t="s">
        <v>25</v>
      </c>
      <c r="G67" s="4" t="s">
        <v>25</v>
      </c>
      <c r="H67" s="4" t="s">
        <v>25</v>
      </c>
      <c r="I67" s="5">
        <v>44743</v>
      </c>
      <c r="J67" s="6">
        <v>0</v>
      </c>
      <c r="K67" s="6">
        <v>0</v>
      </c>
      <c r="L67" s="6">
        <v>11.169</v>
      </c>
      <c r="M67" s="6">
        <v>11.169</v>
      </c>
      <c r="N67" s="6">
        <v>11.169</v>
      </c>
      <c r="O67" s="6">
        <v>11.169</v>
      </c>
      <c r="P67" s="6">
        <v>32</v>
      </c>
      <c r="Q67" s="4" t="s">
        <v>26</v>
      </c>
      <c r="R67" s="4">
        <v>0</v>
      </c>
      <c r="S67" s="4">
        <v>0</v>
      </c>
      <c r="T67" s="4">
        <v>4</v>
      </c>
      <c r="U67" s="4">
        <v>55</v>
      </c>
      <c r="V67" s="6">
        <f>IF(ISERROR(VLOOKUP($S$67,'TAR FIN'!$A$1:$O$85,15,0)),0,VLOOKUP($S$67,'TAR FIN'!$A$1:$O$85,15,0))</f>
        <v>0</v>
      </c>
      <c r="W67" s="6">
        <f>IF(ISERROR(VLOOKUP($T$67,'TAR FIN'!$A$1:$O$85,15,0)),0,VLOOKUP($T$67,'TAR FIN'!$A$1:$O$85,15,0))</f>
        <v>327.33999999999997</v>
      </c>
      <c r="X67" s="6">
        <f>IF(ISERROR(VLOOKUP($U$67,'TAR FIN'!$A$1:$O$85,15,0)),0,VLOOKUP($U$67,'TAR FIN'!$A$1:$O$85,15,0))</f>
        <v>71.98</v>
      </c>
      <c r="Y67" s="6"/>
      <c r="Z67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67" s="6">
        <f>('TE BE'!$AB$12+'TE BF'!$AB$12+'TE CVA'!$AB$12)*(1-CUSTOS!$M$35)</f>
        <v>73.55182809634033</v>
      </c>
      <c r="AB67" s="6">
        <f t="shared" si="6"/>
        <v>0</v>
      </c>
      <c r="AC67" s="6">
        <f>(L67-M67)*(W67+X67)+($W$82+$X$82-$W$67-$X$67)*(L67)</f>
        <v>2973.2994899999999</v>
      </c>
      <c r="AD67" s="6">
        <f t="shared" si="7"/>
        <v>0</v>
      </c>
      <c r="AE67" s="6">
        <f ca="1">(L67-M67)*(Z67+AA67)+($Z$82+$AA$82-$Z$67-$AA$67)*(L67)</f>
        <v>3031.3227856778108</v>
      </c>
      <c r="AF67" s="4" t="s">
        <v>626</v>
      </c>
    </row>
    <row r="68" spans="1:32" ht="11.25" customHeight="1" x14ac:dyDescent="0.3">
      <c r="A68" s="4" t="s">
        <v>52</v>
      </c>
      <c r="B68" s="4" t="s">
        <v>22</v>
      </c>
      <c r="C68" s="4" t="s">
        <v>23</v>
      </c>
      <c r="D68" s="4" t="s">
        <v>24</v>
      </c>
      <c r="E68" s="4" t="s">
        <v>30</v>
      </c>
      <c r="F68" s="4" t="s">
        <v>25</v>
      </c>
      <c r="G68" s="4" t="s">
        <v>25</v>
      </c>
      <c r="H68" s="4" t="s">
        <v>25</v>
      </c>
      <c r="I68" s="5">
        <v>44774</v>
      </c>
      <c r="J68" s="6">
        <v>0</v>
      </c>
      <c r="K68" s="6">
        <v>0</v>
      </c>
      <c r="L68" s="6">
        <v>11.169</v>
      </c>
      <c r="M68" s="6">
        <v>11.169</v>
      </c>
      <c r="N68" s="6">
        <v>11.169</v>
      </c>
      <c r="O68" s="6">
        <v>11.169</v>
      </c>
      <c r="P68" s="6">
        <v>32</v>
      </c>
      <c r="Q68" s="4" t="s">
        <v>26</v>
      </c>
      <c r="R68" s="4">
        <v>0</v>
      </c>
      <c r="S68" s="4">
        <v>0</v>
      </c>
      <c r="T68" s="4">
        <v>4</v>
      </c>
      <c r="U68" s="4">
        <v>55</v>
      </c>
      <c r="V68" s="6">
        <f>IF(ISERROR(VLOOKUP($S$68,'TAR FIN'!$A$1:$O$85,15,0)),0,VLOOKUP($S$68,'TAR FIN'!$A$1:$O$85,15,0))</f>
        <v>0</v>
      </c>
      <c r="W68" s="6">
        <f>IF(ISERROR(VLOOKUP($T$68,'TAR FIN'!$A$1:$O$85,15,0)),0,VLOOKUP($T$68,'TAR FIN'!$A$1:$O$85,15,0))</f>
        <v>327.33999999999997</v>
      </c>
      <c r="X68" s="6">
        <f>IF(ISERROR(VLOOKUP($U$68,'TAR FIN'!$A$1:$O$85,15,0)),0,VLOOKUP($U$68,'TAR FIN'!$A$1:$O$85,15,0))</f>
        <v>71.98</v>
      </c>
      <c r="Y68" s="6"/>
      <c r="Z68" s="6">
        <f ca="1">('TUSD BE'!$AM$22+'TUSD BF'!$AM$22+'TUSD CVA'!$AM$22-('TUSD BE'!$P$22+'TUSD BF'!$P$22+'TUSD CVA'!$P$22)-('TUSD BE'!$Q$22+'TUSD BF'!$Q$22+'TUSD CVA'!$Q$22)-('TUSD BE'!$R$22+'TUSD BF'!$R$22+'TUSD CVA'!$R$22))*(1-CUSTOS!$M$35)</f>
        <v>333.55571765679019</v>
      </c>
      <c r="AA68" s="6">
        <f>('TE BE'!$AB$12+'TE BF'!$AB$12+'TE CVA'!$AB$12)*(1-CUSTOS!$M$35)</f>
        <v>73.55182809634033</v>
      </c>
      <c r="AB68" s="6">
        <f t="shared" si="6"/>
        <v>0</v>
      </c>
      <c r="AC68" s="6">
        <f>(L68-M68)*(W68+X68)+($W$82+$X$82-$W$68-$X$68)*(L68)</f>
        <v>2973.2994899999999</v>
      </c>
      <c r="AD68" s="6">
        <f t="shared" si="7"/>
        <v>0</v>
      </c>
      <c r="AE68" s="6">
        <f ca="1">(L68-M68)*(Z68+AA68)+($Z$82+$AA$82-$Z$68-$AA$68)*(L68)</f>
        <v>3031.3227856778108</v>
      </c>
      <c r="AF68" s="4" t="s">
        <v>626</v>
      </c>
    </row>
    <row r="69" spans="1:32" ht="11.25" customHeight="1" x14ac:dyDescent="0.3">
      <c r="A69" s="4" t="s">
        <v>21</v>
      </c>
      <c r="B69" s="4" t="s">
        <v>22</v>
      </c>
      <c r="C69" s="4" t="s">
        <v>23</v>
      </c>
      <c r="D69" s="4" t="s">
        <v>24</v>
      </c>
      <c r="E69" s="4" t="s">
        <v>31</v>
      </c>
      <c r="F69" s="4" t="s">
        <v>25</v>
      </c>
      <c r="G69" s="4" t="s">
        <v>25</v>
      </c>
      <c r="H69" s="4" t="s">
        <v>25</v>
      </c>
      <c r="I69" s="5">
        <v>44440</v>
      </c>
      <c r="J69" s="6">
        <v>0</v>
      </c>
      <c r="K69" s="6">
        <v>0</v>
      </c>
      <c r="L69" s="6">
        <v>6.57</v>
      </c>
      <c r="M69" s="6">
        <v>6.57</v>
      </c>
      <c r="N69" s="6">
        <v>6.57</v>
      </c>
      <c r="O69" s="6">
        <v>6.57</v>
      </c>
      <c r="P69" s="6">
        <v>64</v>
      </c>
      <c r="Q69" s="4" t="s">
        <v>26</v>
      </c>
      <c r="R69" s="4">
        <v>0</v>
      </c>
      <c r="S69" s="4">
        <v>0</v>
      </c>
      <c r="T69" s="4">
        <v>7</v>
      </c>
      <c r="U69" s="4">
        <v>63</v>
      </c>
      <c r="V69" s="6">
        <f>IF(ISERROR(VLOOKUP($S$69,'TAR FIN'!$A$1:$O$85,15,0)),0,VLOOKUP($S$69,'TAR FIN'!$A$1:$O$85,15,0))</f>
        <v>0</v>
      </c>
      <c r="W69" s="6">
        <f>IF(ISERROR(VLOOKUP($T$69,'TAR FIN'!$A$1:$O$85,15,0)),0,VLOOKUP($T$69,'TAR FIN'!$A$1:$O$85,15,0))</f>
        <v>491.01</v>
      </c>
      <c r="X69" s="6">
        <f>IF(ISERROR(VLOOKUP($U$69,'TAR FIN'!$A$1:$O$85,15,0)),0,VLOOKUP($U$69,'TAR FIN'!$A$1:$O$85,15,0))</f>
        <v>107.98</v>
      </c>
      <c r="Y69" s="6"/>
      <c r="Z69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69" s="6">
        <f>('TE BE'!$AB$13+'TE BF'!$AB$13+'TE CVA'!$AB$13)*(1-CUSTOS!$M$36)</f>
        <v>110.32774214451051</v>
      </c>
      <c r="AB69" s="6">
        <f t="shared" si="6"/>
        <v>0</v>
      </c>
      <c r="AC69" s="6">
        <f>(L69-M69)*(W69+X69)+($W$82+$X$82-$W$69-$X$69)*(L69)</f>
        <v>437.16779999999989</v>
      </c>
      <c r="AD69" s="6">
        <f t="shared" si="7"/>
        <v>0</v>
      </c>
      <c r="AE69" s="6">
        <f ca="1">(L69-M69)*(Z69+AA69)+($Z$82+$AA$82-$Z$69-$AA$69)*(L69)</f>
        <v>445.78276259967822</v>
      </c>
      <c r="AF69" s="4" t="s">
        <v>626</v>
      </c>
    </row>
    <row r="70" spans="1:32" ht="11.25" customHeight="1" x14ac:dyDescent="0.3">
      <c r="A70" s="4" t="s">
        <v>21</v>
      </c>
      <c r="B70" s="4" t="s">
        <v>22</v>
      </c>
      <c r="C70" s="4" t="s">
        <v>23</v>
      </c>
      <c r="D70" s="4" t="s">
        <v>24</v>
      </c>
      <c r="E70" s="4" t="s">
        <v>31</v>
      </c>
      <c r="F70" s="4" t="s">
        <v>25</v>
      </c>
      <c r="G70" s="4" t="s">
        <v>25</v>
      </c>
      <c r="H70" s="4" t="s">
        <v>25</v>
      </c>
      <c r="I70" s="5">
        <v>44470</v>
      </c>
      <c r="J70" s="6">
        <v>0</v>
      </c>
      <c r="K70" s="6">
        <v>0</v>
      </c>
      <c r="L70" s="6">
        <v>8.2279999999999998</v>
      </c>
      <c r="M70" s="6">
        <v>8.2279999999999998</v>
      </c>
      <c r="N70" s="6">
        <v>8.2279999999999998</v>
      </c>
      <c r="O70" s="6">
        <v>8.2279999999999998</v>
      </c>
      <c r="P70" s="6">
        <v>60</v>
      </c>
      <c r="Q70" s="4" t="s">
        <v>26</v>
      </c>
      <c r="R70" s="4">
        <v>0</v>
      </c>
      <c r="S70" s="4">
        <v>0</v>
      </c>
      <c r="T70" s="4">
        <v>7</v>
      </c>
      <c r="U70" s="4">
        <v>63</v>
      </c>
      <c r="V70" s="6">
        <f>IF(ISERROR(VLOOKUP($S$70,'TAR FIN'!$A$1:$O$85,15,0)),0,VLOOKUP($S$70,'TAR FIN'!$A$1:$O$85,15,0))</f>
        <v>0</v>
      </c>
      <c r="W70" s="6">
        <f>IF(ISERROR(VLOOKUP($T$70,'TAR FIN'!$A$1:$O$85,15,0)),0,VLOOKUP($T$70,'TAR FIN'!$A$1:$O$85,15,0))</f>
        <v>491.01</v>
      </c>
      <c r="X70" s="6">
        <f>IF(ISERROR(VLOOKUP($U$70,'TAR FIN'!$A$1:$O$85,15,0)),0,VLOOKUP($U$70,'TAR FIN'!$A$1:$O$85,15,0))</f>
        <v>107.98</v>
      </c>
      <c r="Y70" s="6"/>
      <c r="Z70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70" s="6">
        <f>('TE BE'!$AB$13+'TE BF'!$AB$13+'TE CVA'!$AB$13)*(1-CUSTOS!$M$36)</f>
        <v>110.32774214451051</v>
      </c>
      <c r="AB70" s="6">
        <f t="shared" si="6"/>
        <v>0</v>
      </c>
      <c r="AC70" s="6">
        <f>(L70-M70)*(W70+X70)+($W$82+$X$82-$W$70-$X$70)*(L70)</f>
        <v>547.4911199999998</v>
      </c>
      <c r="AD70" s="6">
        <f t="shared" si="7"/>
        <v>0</v>
      </c>
      <c r="AE70" s="6">
        <f ca="1">(L70-M70)*(Z70+AA70)+($Z$82+$AA$82-$Z$70-$AA$70)*(L70)</f>
        <v>558.28014774279336</v>
      </c>
      <c r="AF70" s="4" t="s">
        <v>626</v>
      </c>
    </row>
    <row r="71" spans="1:32" ht="11.25" customHeight="1" x14ac:dyDescent="0.3">
      <c r="A71" s="4" t="s">
        <v>21</v>
      </c>
      <c r="B71" s="4" t="s">
        <v>22</v>
      </c>
      <c r="C71" s="4" t="s">
        <v>23</v>
      </c>
      <c r="D71" s="4" t="s">
        <v>24</v>
      </c>
      <c r="E71" s="4" t="s">
        <v>31</v>
      </c>
      <c r="F71" s="4" t="s">
        <v>25</v>
      </c>
      <c r="G71" s="4" t="s">
        <v>25</v>
      </c>
      <c r="H71" s="4" t="s">
        <v>25</v>
      </c>
      <c r="I71" s="5">
        <v>44501</v>
      </c>
      <c r="J71" s="6">
        <v>0</v>
      </c>
      <c r="K71" s="6">
        <v>0</v>
      </c>
      <c r="L71" s="6">
        <v>7.726</v>
      </c>
      <c r="M71" s="6">
        <v>7.726</v>
      </c>
      <c r="N71" s="6">
        <v>7.726</v>
      </c>
      <c r="O71" s="6">
        <v>7.726</v>
      </c>
      <c r="P71" s="6">
        <v>67</v>
      </c>
      <c r="Q71" s="4" t="s">
        <v>26</v>
      </c>
      <c r="R71" s="4">
        <v>0</v>
      </c>
      <c r="S71" s="4">
        <v>0</v>
      </c>
      <c r="T71" s="4">
        <v>7</v>
      </c>
      <c r="U71" s="4">
        <v>63</v>
      </c>
      <c r="V71" s="6">
        <f>IF(ISERROR(VLOOKUP($S$71,'TAR FIN'!$A$1:$O$85,15,0)),0,VLOOKUP($S$71,'TAR FIN'!$A$1:$O$85,15,0))</f>
        <v>0</v>
      </c>
      <c r="W71" s="6">
        <f>IF(ISERROR(VLOOKUP($T$71,'TAR FIN'!$A$1:$O$85,15,0)),0,VLOOKUP($T$71,'TAR FIN'!$A$1:$O$85,15,0))</f>
        <v>491.01</v>
      </c>
      <c r="X71" s="6">
        <f>IF(ISERROR(VLOOKUP($U$71,'TAR FIN'!$A$1:$O$85,15,0)),0,VLOOKUP($U$71,'TAR FIN'!$A$1:$O$85,15,0))</f>
        <v>107.98</v>
      </c>
      <c r="Y71" s="6"/>
      <c r="Z71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71" s="6">
        <f>('TE BE'!$AB$13+'TE BF'!$AB$13+'TE CVA'!$AB$13)*(1-CUSTOS!$M$36)</f>
        <v>110.32774214451051</v>
      </c>
      <c r="AB71" s="6">
        <f t="shared" si="6"/>
        <v>0</v>
      </c>
      <c r="AC71" s="6">
        <f>(L71-M71)*(W71+X71)+($W$82+$X$82-$W$71-$X$71)*(L71)</f>
        <v>514.08803999999986</v>
      </c>
      <c r="AD71" s="6">
        <f t="shared" si="7"/>
        <v>0</v>
      </c>
      <c r="AE71" s="6">
        <f ca="1">(L71-M71)*(Z71+AA71)+($Z$82+$AA$82-$Z$71-$AA$71)*(L71)</f>
        <v>524.21881641478137</v>
      </c>
      <c r="AF71" s="4" t="s">
        <v>626</v>
      </c>
    </row>
    <row r="72" spans="1:32" ht="11.25" customHeight="1" x14ac:dyDescent="0.3">
      <c r="A72" s="4" t="s">
        <v>21</v>
      </c>
      <c r="B72" s="4" t="s">
        <v>22</v>
      </c>
      <c r="C72" s="4" t="s">
        <v>23</v>
      </c>
      <c r="D72" s="4" t="s">
        <v>24</v>
      </c>
      <c r="E72" s="4" t="s">
        <v>31</v>
      </c>
      <c r="F72" s="4" t="s">
        <v>25</v>
      </c>
      <c r="G72" s="4" t="s">
        <v>25</v>
      </c>
      <c r="H72" s="4" t="s">
        <v>25</v>
      </c>
      <c r="I72" s="5">
        <v>44531</v>
      </c>
      <c r="J72" s="6">
        <v>0</v>
      </c>
      <c r="K72" s="6">
        <v>0</v>
      </c>
      <c r="L72" s="6">
        <v>7.9729999999999999</v>
      </c>
      <c r="M72" s="6">
        <v>7.9729999999999999</v>
      </c>
      <c r="N72" s="6">
        <v>7.9729999999999999</v>
      </c>
      <c r="O72" s="6">
        <v>7.9729999999999999</v>
      </c>
      <c r="P72" s="6">
        <v>71</v>
      </c>
      <c r="Q72" s="4" t="s">
        <v>26</v>
      </c>
      <c r="R72" s="4">
        <v>0</v>
      </c>
      <c r="S72" s="4">
        <v>0</v>
      </c>
      <c r="T72" s="4">
        <v>7</v>
      </c>
      <c r="U72" s="4">
        <v>63</v>
      </c>
      <c r="V72" s="6">
        <f>IF(ISERROR(VLOOKUP($S$72,'TAR FIN'!$A$1:$O$85,15,0)),0,VLOOKUP($S$72,'TAR FIN'!$A$1:$O$85,15,0))</f>
        <v>0</v>
      </c>
      <c r="W72" s="6">
        <f>IF(ISERROR(VLOOKUP($T$72,'TAR FIN'!$A$1:$O$85,15,0)),0,VLOOKUP($T$72,'TAR FIN'!$A$1:$O$85,15,0))</f>
        <v>491.01</v>
      </c>
      <c r="X72" s="6">
        <f>IF(ISERROR(VLOOKUP($U$72,'TAR FIN'!$A$1:$O$85,15,0)),0,VLOOKUP($U$72,'TAR FIN'!$A$1:$O$85,15,0))</f>
        <v>107.98</v>
      </c>
      <c r="Y72" s="6"/>
      <c r="Z72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72" s="6">
        <f>('TE BE'!$AB$13+'TE BF'!$AB$13+'TE CVA'!$AB$13)*(1-CUSTOS!$M$36)</f>
        <v>110.32774214451051</v>
      </c>
      <c r="AB72" s="6">
        <f t="shared" si="6"/>
        <v>0</v>
      </c>
      <c r="AC72" s="6">
        <f>(L72-M72)*(W72+X72)+($W$82+$X$82-$W$72-$X$72)*(L72)</f>
        <v>530.52341999999976</v>
      </c>
      <c r="AD72" s="6">
        <f t="shared" si="7"/>
        <v>0</v>
      </c>
      <c r="AE72" s="6">
        <f ca="1">(L72-M72)*(Z72+AA72)+($Z$82+$AA$82-$Z$72-$AA$72)*(L72)</f>
        <v>540.97807704828529</v>
      </c>
      <c r="AF72" s="4" t="s">
        <v>626</v>
      </c>
    </row>
    <row r="73" spans="1:32" ht="11.25" customHeight="1" x14ac:dyDescent="0.3">
      <c r="A73" s="4" t="s">
        <v>21</v>
      </c>
      <c r="B73" s="4" t="s">
        <v>22</v>
      </c>
      <c r="C73" s="4" t="s">
        <v>23</v>
      </c>
      <c r="D73" s="4" t="s">
        <v>24</v>
      </c>
      <c r="E73" s="4" t="s">
        <v>31</v>
      </c>
      <c r="F73" s="4" t="s">
        <v>25</v>
      </c>
      <c r="G73" s="4" t="s">
        <v>25</v>
      </c>
      <c r="H73" s="4" t="s">
        <v>25</v>
      </c>
      <c r="I73" s="5">
        <v>44562</v>
      </c>
      <c r="J73" s="6">
        <v>0</v>
      </c>
      <c r="K73" s="6">
        <v>0</v>
      </c>
      <c r="L73" s="6">
        <v>9.3420000000000005</v>
      </c>
      <c r="M73" s="6">
        <v>9.3420000000000005</v>
      </c>
      <c r="N73" s="6">
        <v>9.3420000000000005</v>
      </c>
      <c r="O73" s="6">
        <v>9.3420000000000005</v>
      </c>
      <c r="P73" s="6">
        <v>60</v>
      </c>
      <c r="Q73" s="4" t="s">
        <v>26</v>
      </c>
      <c r="R73" s="4">
        <v>0</v>
      </c>
      <c r="S73" s="4">
        <v>0</v>
      </c>
      <c r="T73" s="4">
        <v>7</v>
      </c>
      <c r="U73" s="4">
        <v>63</v>
      </c>
      <c r="V73" s="6">
        <f>IF(ISERROR(VLOOKUP($S$73,'TAR FIN'!$A$1:$O$85,15,0)),0,VLOOKUP($S$73,'TAR FIN'!$A$1:$O$85,15,0))</f>
        <v>0</v>
      </c>
      <c r="W73" s="6">
        <f>IF(ISERROR(VLOOKUP($T$73,'TAR FIN'!$A$1:$O$85,15,0)),0,VLOOKUP($T$73,'TAR FIN'!$A$1:$O$85,15,0))</f>
        <v>491.01</v>
      </c>
      <c r="X73" s="6">
        <f>IF(ISERROR(VLOOKUP($U$73,'TAR FIN'!$A$1:$O$85,15,0)),0,VLOOKUP($U$73,'TAR FIN'!$A$1:$O$85,15,0))</f>
        <v>107.98</v>
      </c>
      <c r="Y73" s="6"/>
      <c r="Z73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73" s="6">
        <f>('TE BE'!$AB$13+'TE BF'!$AB$13+'TE CVA'!$AB$13)*(1-CUSTOS!$M$36)</f>
        <v>110.32774214451051</v>
      </c>
      <c r="AB73" s="6">
        <f t="shared" si="6"/>
        <v>0</v>
      </c>
      <c r="AC73" s="6">
        <f>(L73-M73)*(W73+X73)+($W$82+$X$82-$W$73-$X$73)*(L73)</f>
        <v>621.61667999999986</v>
      </c>
      <c r="AD73" s="6">
        <f t="shared" si="7"/>
        <v>0</v>
      </c>
      <c r="AE73" s="6">
        <f ca="1">(L73-M73)*(Z73+AA73)+($Z$82+$AA$82-$Z$73-$AA$73)*(L73)</f>
        <v>633.86644873762464</v>
      </c>
      <c r="AF73" s="4" t="s">
        <v>626</v>
      </c>
    </row>
    <row r="74" spans="1:32" ht="11.25" customHeight="1" x14ac:dyDescent="0.3">
      <c r="A74" s="4" t="s">
        <v>21</v>
      </c>
      <c r="B74" s="4" t="s">
        <v>22</v>
      </c>
      <c r="C74" s="4" t="s">
        <v>23</v>
      </c>
      <c r="D74" s="4" t="s">
        <v>24</v>
      </c>
      <c r="E74" s="4" t="s">
        <v>31</v>
      </c>
      <c r="F74" s="4" t="s">
        <v>25</v>
      </c>
      <c r="G74" s="4" t="s">
        <v>25</v>
      </c>
      <c r="H74" s="4" t="s">
        <v>25</v>
      </c>
      <c r="I74" s="5">
        <v>44593</v>
      </c>
      <c r="J74" s="6">
        <v>0</v>
      </c>
      <c r="K74" s="6">
        <v>0</v>
      </c>
      <c r="L74" s="6">
        <v>11.077</v>
      </c>
      <c r="M74" s="6">
        <v>11.077</v>
      </c>
      <c r="N74" s="6">
        <v>11.077</v>
      </c>
      <c r="O74" s="6">
        <v>11.077</v>
      </c>
      <c r="P74" s="6">
        <v>65</v>
      </c>
      <c r="Q74" s="4" t="s">
        <v>26</v>
      </c>
      <c r="R74" s="4">
        <v>0</v>
      </c>
      <c r="S74" s="4">
        <v>0</v>
      </c>
      <c r="T74" s="4">
        <v>7</v>
      </c>
      <c r="U74" s="4">
        <v>63</v>
      </c>
      <c r="V74" s="6">
        <f>IF(ISERROR(VLOOKUP($S$74,'TAR FIN'!$A$1:$O$85,15,0)),0,VLOOKUP($S$74,'TAR FIN'!$A$1:$O$85,15,0))</f>
        <v>0</v>
      </c>
      <c r="W74" s="6">
        <f>IF(ISERROR(VLOOKUP($T$74,'TAR FIN'!$A$1:$O$85,15,0)),0,VLOOKUP($T$74,'TAR FIN'!$A$1:$O$85,15,0))</f>
        <v>491.01</v>
      </c>
      <c r="X74" s="6">
        <f>IF(ISERROR(VLOOKUP($U$74,'TAR FIN'!$A$1:$O$85,15,0)),0,VLOOKUP($U$74,'TAR FIN'!$A$1:$O$85,15,0))</f>
        <v>107.98</v>
      </c>
      <c r="Y74" s="6"/>
      <c r="Z74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74" s="6">
        <f>('TE BE'!$AB$13+'TE BF'!$AB$13+'TE CVA'!$AB$13)*(1-CUSTOS!$M$36)</f>
        <v>110.32774214451051</v>
      </c>
      <c r="AB74" s="6">
        <f t="shared" si="6"/>
        <v>0</v>
      </c>
      <c r="AC74" s="6">
        <f>(L74-M74)*(W74+X74)+($W$82+$X$82-$W$74-$X$74)*(L74)</f>
        <v>737.06357999999977</v>
      </c>
      <c r="AD74" s="6">
        <f t="shared" si="7"/>
        <v>0</v>
      </c>
      <c r="AE74" s="6">
        <f ca="1">(L74-M74)*(Z74+AA74)+($Z$82+$AA$82-$Z$74-$AA$74)*(L74)</f>
        <v>751.5883807179049</v>
      </c>
      <c r="AF74" s="4" t="s">
        <v>626</v>
      </c>
    </row>
    <row r="75" spans="1:32" ht="11.25" customHeight="1" x14ac:dyDescent="0.3">
      <c r="A75" s="4" t="s">
        <v>21</v>
      </c>
      <c r="B75" s="4" t="s">
        <v>22</v>
      </c>
      <c r="C75" s="4" t="s">
        <v>23</v>
      </c>
      <c r="D75" s="4" t="s">
        <v>24</v>
      </c>
      <c r="E75" s="4" t="s">
        <v>31</v>
      </c>
      <c r="F75" s="4" t="s">
        <v>25</v>
      </c>
      <c r="G75" s="4" t="s">
        <v>25</v>
      </c>
      <c r="H75" s="4" t="s">
        <v>25</v>
      </c>
      <c r="I75" s="5">
        <v>44621</v>
      </c>
      <c r="J75" s="6">
        <v>0</v>
      </c>
      <c r="K75" s="6">
        <v>0</v>
      </c>
      <c r="L75" s="6">
        <v>9.8089999999999993</v>
      </c>
      <c r="M75" s="6">
        <v>9.8089999999999993</v>
      </c>
      <c r="N75" s="6">
        <v>9.8089999999999993</v>
      </c>
      <c r="O75" s="6">
        <v>9.8089999999999993</v>
      </c>
      <c r="P75" s="6">
        <v>71</v>
      </c>
      <c r="Q75" s="4" t="s">
        <v>26</v>
      </c>
      <c r="R75" s="4">
        <v>0</v>
      </c>
      <c r="S75" s="4">
        <v>0</v>
      </c>
      <c r="T75" s="4">
        <v>7</v>
      </c>
      <c r="U75" s="4">
        <v>63</v>
      </c>
      <c r="V75" s="6">
        <f>IF(ISERROR(VLOOKUP($S$75,'TAR FIN'!$A$1:$O$85,15,0)),0,VLOOKUP($S$75,'TAR FIN'!$A$1:$O$85,15,0))</f>
        <v>0</v>
      </c>
      <c r="W75" s="6">
        <f>IF(ISERROR(VLOOKUP($T$75,'TAR FIN'!$A$1:$O$85,15,0)),0,VLOOKUP($T$75,'TAR FIN'!$A$1:$O$85,15,0))</f>
        <v>491.01</v>
      </c>
      <c r="X75" s="6">
        <f>IF(ISERROR(VLOOKUP($U$75,'TAR FIN'!$A$1:$O$85,15,0)),0,VLOOKUP($U$75,'TAR FIN'!$A$1:$O$85,15,0))</f>
        <v>107.98</v>
      </c>
      <c r="Y75" s="6"/>
      <c r="Z75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75" s="6">
        <f>('TE BE'!$AB$13+'TE BF'!$AB$13+'TE CVA'!$AB$13)*(1-CUSTOS!$M$36)</f>
        <v>110.32774214451051</v>
      </c>
      <c r="AB75" s="6">
        <f t="shared" si="6"/>
        <v>0</v>
      </c>
      <c r="AC75" s="6">
        <f>(L75-M75)*(W75+X75)+($W$82+$X$82-$W$75-$X$75)*(L75)</f>
        <v>652.6908599999997</v>
      </c>
      <c r="AD75" s="6">
        <f t="shared" si="7"/>
        <v>0</v>
      </c>
      <c r="AE75" s="6">
        <f ca="1">(L75-M75)*(Z75+AA75)+($Z$82+$AA$82-$Z$75-$AA$75)*(L75)</f>
        <v>665.55298604874326</v>
      </c>
      <c r="AF75" s="4" t="s">
        <v>626</v>
      </c>
    </row>
    <row r="76" spans="1:32" ht="11.25" customHeight="1" x14ac:dyDescent="0.3">
      <c r="A76" s="4" t="s">
        <v>27</v>
      </c>
      <c r="B76" s="4" t="s">
        <v>22</v>
      </c>
      <c r="C76" s="4" t="s">
        <v>23</v>
      </c>
      <c r="D76" s="4" t="s">
        <v>24</v>
      </c>
      <c r="E76" s="4" t="s">
        <v>31</v>
      </c>
      <c r="F76" s="4" t="s">
        <v>25</v>
      </c>
      <c r="G76" s="4" t="s">
        <v>25</v>
      </c>
      <c r="H76" s="4" t="s">
        <v>25</v>
      </c>
      <c r="I76" s="5">
        <v>44621</v>
      </c>
      <c r="J76" s="6">
        <v>0</v>
      </c>
      <c r="K76" s="6">
        <v>0</v>
      </c>
      <c r="L76" s="6">
        <v>5.0999999999999997E-2</v>
      </c>
      <c r="M76" s="6">
        <v>5.0999999999999997E-2</v>
      </c>
      <c r="N76" s="6">
        <v>5.0999999999999997E-2</v>
      </c>
      <c r="O76" s="6">
        <v>5.0999999999999997E-2</v>
      </c>
      <c r="P76" s="6">
        <v>0</v>
      </c>
      <c r="Q76" s="4" t="s">
        <v>26</v>
      </c>
      <c r="R76" s="4">
        <v>0</v>
      </c>
      <c r="S76" s="4">
        <v>0</v>
      </c>
      <c r="T76" s="4">
        <v>7</v>
      </c>
      <c r="U76" s="4">
        <v>63</v>
      </c>
      <c r="V76" s="6">
        <f>IF(ISERROR(VLOOKUP($S$76,'TAR FIN'!$A$1:$O$85,15,0)),0,VLOOKUP($S$76,'TAR FIN'!$A$1:$O$85,15,0))</f>
        <v>0</v>
      </c>
      <c r="W76" s="6">
        <f>IF(ISERROR(VLOOKUP($T$76,'TAR FIN'!$A$1:$O$85,15,0)),0,VLOOKUP($T$76,'TAR FIN'!$A$1:$O$85,15,0))</f>
        <v>491.01</v>
      </c>
      <c r="X76" s="6">
        <f>IF(ISERROR(VLOOKUP($U$76,'TAR FIN'!$A$1:$O$85,15,0)),0,VLOOKUP($U$76,'TAR FIN'!$A$1:$O$85,15,0))</f>
        <v>107.98</v>
      </c>
      <c r="Y76" s="6"/>
      <c r="Z76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76" s="6">
        <f>('TE BE'!$AB$13+'TE BF'!$AB$13+'TE CVA'!$AB$13)*(1-CUSTOS!$M$36)</f>
        <v>110.32774214451051</v>
      </c>
      <c r="AB76" s="6">
        <f t="shared" si="6"/>
        <v>0</v>
      </c>
      <c r="AC76" s="6">
        <f>(L76-M76)*(W76+X76)+($W$82+$X$82-$W$76-$X$76)*(L76)</f>
        <v>3.3935399999999984</v>
      </c>
      <c r="AD76" s="6">
        <f t="shared" si="7"/>
        <v>0</v>
      </c>
      <c r="AE76" s="6">
        <f ca="1">(L76-M76)*(Z76+AA76)+($Z$82+$AA$82-$Z$76-$AA$76)*(L76)</f>
        <v>3.4604141389016112</v>
      </c>
      <c r="AF76" s="4" t="s">
        <v>626</v>
      </c>
    </row>
    <row r="77" spans="1:32" ht="11.25" customHeight="1" x14ac:dyDescent="0.3">
      <c r="A77" s="4" t="s">
        <v>21</v>
      </c>
      <c r="B77" s="4" t="s">
        <v>22</v>
      </c>
      <c r="C77" s="4" t="s">
        <v>23</v>
      </c>
      <c r="D77" s="4" t="s">
        <v>24</v>
      </c>
      <c r="E77" s="4" t="s">
        <v>31</v>
      </c>
      <c r="F77" s="4" t="s">
        <v>25</v>
      </c>
      <c r="G77" s="4" t="s">
        <v>25</v>
      </c>
      <c r="H77" s="4" t="s">
        <v>25</v>
      </c>
      <c r="I77" s="5">
        <v>44652</v>
      </c>
      <c r="J77" s="6">
        <v>0</v>
      </c>
      <c r="K77" s="6">
        <v>0</v>
      </c>
      <c r="L77" s="6">
        <v>10.356999999999999</v>
      </c>
      <c r="M77" s="6">
        <v>10.356999999999999</v>
      </c>
      <c r="N77" s="6">
        <v>10.356999999999999</v>
      </c>
      <c r="O77" s="6">
        <v>10.356999999999999</v>
      </c>
      <c r="P77" s="6">
        <v>79</v>
      </c>
      <c r="Q77" s="4" t="s">
        <v>26</v>
      </c>
      <c r="R77" s="4">
        <v>0</v>
      </c>
      <c r="S77" s="4">
        <v>0</v>
      </c>
      <c r="T77" s="4">
        <v>7</v>
      </c>
      <c r="U77" s="4">
        <v>63</v>
      </c>
      <c r="V77" s="6">
        <f>IF(ISERROR(VLOOKUP($S$77,'TAR FIN'!$A$1:$O$85,15,0)),0,VLOOKUP($S$77,'TAR FIN'!$A$1:$O$85,15,0))</f>
        <v>0</v>
      </c>
      <c r="W77" s="6">
        <f>IF(ISERROR(VLOOKUP($T$77,'TAR FIN'!$A$1:$O$85,15,0)),0,VLOOKUP($T$77,'TAR FIN'!$A$1:$O$85,15,0))</f>
        <v>491.01</v>
      </c>
      <c r="X77" s="6">
        <f>IF(ISERROR(VLOOKUP($U$77,'TAR FIN'!$A$1:$O$85,15,0)),0,VLOOKUP($U$77,'TAR FIN'!$A$1:$O$85,15,0))</f>
        <v>107.98</v>
      </c>
      <c r="Y77" s="6"/>
      <c r="Z77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77" s="6">
        <f>('TE BE'!$AB$13+'TE BF'!$AB$13+'TE CVA'!$AB$13)*(1-CUSTOS!$M$36)</f>
        <v>110.32774214451051</v>
      </c>
      <c r="AB77" s="6">
        <f t="shared" si="6"/>
        <v>0</v>
      </c>
      <c r="AC77" s="6">
        <f>(L77-M77)*(W77+X77)+($W$82+$X$82-$W$77-$X$77)*(L77)</f>
        <v>689.15477999999973</v>
      </c>
      <c r="AD77" s="6">
        <f t="shared" si="7"/>
        <v>0</v>
      </c>
      <c r="AE77" s="6">
        <f ca="1">(L77-M77)*(Z77+AA77)+($Z$82+$AA$82-$Z$77-$AA$77)*(L77)</f>
        <v>702.73547522752915</v>
      </c>
      <c r="AF77" s="4" t="s">
        <v>626</v>
      </c>
    </row>
    <row r="78" spans="1:32" ht="11.25" customHeight="1" x14ac:dyDescent="0.3">
      <c r="A78" s="4" t="s">
        <v>21</v>
      </c>
      <c r="B78" s="4" t="s">
        <v>22</v>
      </c>
      <c r="C78" s="4" t="s">
        <v>23</v>
      </c>
      <c r="D78" s="4" t="s">
        <v>24</v>
      </c>
      <c r="E78" s="4" t="s">
        <v>31</v>
      </c>
      <c r="F78" s="4" t="s">
        <v>25</v>
      </c>
      <c r="G78" s="4" t="s">
        <v>25</v>
      </c>
      <c r="H78" s="4" t="s">
        <v>25</v>
      </c>
      <c r="I78" s="5">
        <v>44682</v>
      </c>
      <c r="J78" s="6">
        <v>0</v>
      </c>
      <c r="K78" s="6">
        <v>0</v>
      </c>
      <c r="L78" s="6">
        <v>10.95</v>
      </c>
      <c r="M78" s="6">
        <v>10.95</v>
      </c>
      <c r="N78" s="6">
        <v>10.95</v>
      </c>
      <c r="O78" s="6">
        <v>10.95</v>
      </c>
      <c r="P78" s="6">
        <v>88</v>
      </c>
      <c r="Q78" s="4" t="s">
        <v>26</v>
      </c>
      <c r="R78" s="4">
        <v>0</v>
      </c>
      <c r="S78" s="4">
        <v>0</v>
      </c>
      <c r="T78" s="4">
        <v>7</v>
      </c>
      <c r="U78" s="4">
        <v>63</v>
      </c>
      <c r="V78" s="6">
        <f>IF(ISERROR(VLOOKUP($S$78,'TAR FIN'!$A$1:$O$85,15,0)),0,VLOOKUP($S$78,'TAR FIN'!$A$1:$O$85,15,0))</f>
        <v>0</v>
      </c>
      <c r="W78" s="6">
        <f>IF(ISERROR(VLOOKUP($T$78,'TAR FIN'!$A$1:$O$85,15,0)),0,VLOOKUP($T$78,'TAR FIN'!$A$1:$O$85,15,0))</f>
        <v>491.01</v>
      </c>
      <c r="X78" s="6">
        <f>IF(ISERROR(VLOOKUP($U$78,'TAR FIN'!$A$1:$O$85,15,0)),0,VLOOKUP($U$78,'TAR FIN'!$A$1:$O$85,15,0))</f>
        <v>107.98</v>
      </c>
      <c r="Y78" s="6"/>
      <c r="Z78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78" s="6">
        <f>('TE BE'!$AB$13+'TE BF'!$AB$13+'TE CVA'!$AB$13)*(1-CUSTOS!$M$36)</f>
        <v>110.32774214451051</v>
      </c>
      <c r="AB78" s="6">
        <f t="shared" si="6"/>
        <v>0</v>
      </c>
      <c r="AC78" s="6">
        <f>(L78-M78)*(W78+X78)+($W$82+$X$82-$W$78-$X$78)*(L78)</f>
        <v>728.61299999999972</v>
      </c>
      <c r="AD78" s="6">
        <f t="shared" si="7"/>
        <v>0</v>
      </c>
      <c r="AE78" s="6">
        <f ca="1">(L78-M78)*(Z78+AA78)+($Z$82+$AA$82-$Z$78-$AA$78)*(L78)</f>
        <v>742.97127099946363</v>
      </c>
      <c r="AF78" s="4" t="s">
        <v>626</v>
      </c>
    </row>
    <row r="79" spans="1:32" ht="11.25" customHeight="1" x14ac:dyDescent="0.3">
      <c r="A79" s="4" t="s">
        <v>21</v>
      </c>
      <c r="B79" s="4" t="s">
        <v>22</v>
      </c>
      <c r="C79" s="4" t="s">
        <v>23</v>
      </c>
      <c r="D79" s="4" t="s">
        <v>24</v>
      </c>
      <c r="E79" s="4" t="s">
        <v>31</v>
      </c>
      <c r="F79" s="4" t="s">
        <v>25</v>
      </c>
      <c r="G79" s="4" t="s">
        <v>25</v>
      </c>
      <c r="H79" s="4" t="s">
        <v>25</v>
      </c>
      <c r="I79" s="5">
        <v>44713</v>
      </c>
      <c r="J79" s="6">
        <v>0</v>
      </c>
      <c r="K79" s="6">
        <v>0</v>
      </c>
      <c r="L79" s="6">
        <v>12.487</v>
      </c>
      <c r="M79" s="6">
        <v>12.487</v>
      </c>
      <c r="N79" s="6">
        <v>12.487</v>
      </c>
      <c r="O79" s="6">
        <v>12.487</v>
      </c>
      <c r="P79" s="6">
        <v>79</v>
      </c>
      <c r="Q79" s="4" t="s">
        <v>26</v>
      </c>
      <c r="R79" s="4">
        <v>0</v>
      </c>
      <c r="S79" s="4">
        <v>0</v>
      </c>
      <c r="T79" s="4">
        <v>7</v>
      </c>
      <c r="U79" s="4">
        <v>63</v>
      </c>
      <c r="V79" s="6">
        <f>IF(ISERROR(VLOOKUP($S$79,'TAR FIN'!$A$1:$O$85,15,0)),0,VLOOKUP($S$79,'TAR FIN'!$A$1:$O$85,15,0))</f>
        <v>0</v>
      </c>
      <c r="W79" s="6">
        <f>IF(ISERROR(VLOOKUP($T$79,'TAR FIN'!$A$1:$O$85,15,0)),0,VLOOKUP($T$79,'TAR FIN'!$A$1:$O$85,15,0))</f>
        <v>491.01</v>
      </c>
      <c r="X79" s="6">
        <f>IF(ISERROR(VLOOKUP($U$79,'TAR FIN'!$A$1:$O$85,15,0)),0,VLOOKUP($U$79,'TAR FIN'!$A$1:$O$85,15,0))</f>
        <v>107.98</v>
      </c>
      <c r="Y79" s="6"/>
      <c r="Z79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79" s="6">
        <f>('TE BE'!$AB$13+'TE BF'!$AB$13+'TE CVA'!$AB$13)*(1-CUSTOS!$M$36)</f>
        <v>110.32774214451051</v>
      </c>
      <c r="AB79" s="6">
        <f t="shared" si="6"/>
        <v>0</v>
      </c>
      <c r="AC79" s="6">
        <f>(L79-M79)*(W79+X79)+($W$82+$X$82-$W$79-$X$79)*(L79)</f>
        <v>830.8849799999997</v>
      </c>
      <c r="AD79" s="6">
        <f t="shared" si="7"/>
        <v>0</v>
      </c>
      <c r="AE79" s="6">
        <f ca="1">(L79-M79)*(Z79+AA79)+($Z$82+$AA$82-$Z$79-$AA$79)*(L79)</f>
        <v>847.2586539698907</v>
      </c>
      <c r="AF79" s="4" t="s">
        <v>626</v>
      </c>
    </row>
    <row r="80" spans="1:32" ht="11.25" customHeight="1" x14ac:dyDescent="0.3">
      <c r="A80" s="4" t="s">
        <v>21</v>
      </c>
      <c r="B80" s="4" t="s">
        <v>22</v>
      </c>
      <c r="C80" s="4" t="s">
        <v>23</v>
      </c>
      <c r="D80" s="4" t="s">
        <v>24</v>
      </c>
      <c r="E80" s="4" t="s">
        <v>31</v>
      </c>
      <c r="F80" s="4" t="s">
        <v>25</v>
      </c>
      <c r="G80" s="4" t="s">
        <v>25</v>
      </c>
      <c r="H80" s="4" t="s">
        <v>25</v>
      </c>
      <c r="I80" s="5">
        <v>44743</v>
      </c>
      <c r="J80" s="6">
        <v>0</v>
      </c>
      <c r="K80" s="6">
        <v>0</v>
      </c>
      <c r="L80" s="6">
        <v>10.829000000000001</v>
      </c>
      <c r="M80" s="6">
        <v>10.829000000000001</v>
      </c>
      <c r="N80" s="6">
        <v>10.829000000000001</v>
      </c>
      <c r="O80" s="6">
        <v>10.829000000000001</v>
      </c>
      <c r="P80" s="6">
        <v>93</v>
      </c>
      <c r="Q80" s="4" t="s">
        <v>26</v>
      </c>
      <c r="R80" s="4">
        <v>0</v>
      </c>
      <c r="S80" s="4">
        <v>0</v>
      </c>
      <c r="T80" s="4">
        <v>7</v>
      </c>
      <c r="U80" s="4">
        <v>63</v>
      </c>
      <c r="V80" s="6">
        <f>IF(ISERROR(VLOOKUP($S$80,'TAR FIN'!$A$1:$O$85,15,0)),0,VLOOKUP($S$80,'TAR FIN'!$A$1:$O$85,15,0))</f>
        <v>0</v>
      </c>
      <c r="W80" s="6">
        <f>IF(ISERROR(VLOOKUP($T$80,'TAR FIN'!$A$1:$O$85,15,0)),0,VLOOKUP($T$80,'TAR FIN'!$A$1:$O$85,15,0))</f>
        <v>491.01</v>
      </c>
      <c r="X80" s="6">
        <f>IF(ISERROR(VLOOKUP($U$80,'TAR FIN'!$A$1:$O$85,15,0)),0,VLOOKUP($U$80,'TAR FIN'!$A$1:$O$85,15,0))</f>
        <v>107.98</v>
      </c>
      <c r="Y80" s="6"/>
      <c r="Z80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80" s="6">
        <f>('TE BE'!$AB$13+'TE BF'!$AB$13+'TE CVA'!$AB$13)*(1-CUSTOS!$M$36)</f>
        <v>110.32774214451051</v>
      </c>
      <c r="AB80" s="6">
        <f t="shared" si="6"/>
        <v>0</v>
      </c>
      <c r="AC80" s="6">
        <f>(L80-M80)*(W80+X80)+($W$82+$X$82-$W$80-$X$80)*(L80)</f>
        <v>720.56165999999985</v>
      </c>
      <c r="AD80" s="6">
        <f t="shared" si="7"/>
        <v>0</v>
      </c>
      <c r="AE80" s="6">
        <f ca="1">(L80-M80)*(Z80+AA80)+($Z$82+$AA$82-$Z$80-$AA$80)*(L80)</f>
        <v>734.76126882677556</v>
      </c>
      <c r="AF80" s="4" t="s">
        <v>626</v>
      </c>
    </row>
    <row r="81" spans="1:32" ht="11.25" customHeight="1" x14ac:dyDescent="0.3">
      <c r="A81" s="4" t="s">
        <v>52</v>
      </c>
      <c r="B81" s="4" t="s">
        <v>22</v>
      </c>
      <c r="C81" s="4" t="s">
        <v>23</v>
      </c>
      <c r="D81" s="4" t="s">
        <v>24</v>
      </c>
      <c r="E81" s="4" t="s">
        <v>31</v>
      </c>
      <c r="F81" s="4" t="s">
        <v>25</v>
      </c>
      <c r="G81" s="4" t="s">
        <v>25</v>
      </c>
      <c r="H81" s="4" t="s">
        <v>25</v>
      </c>
      <c r="I81" s="5">
        <v>44774</v>
      </c>
      <c r="J81" s="6">
        <v>0</v>
      </c>
      <c r="K81" s="6">
        <v>0</v>
      </c>
      <c r="L81" s="6">
        <v>10.829000000000001</v>
      </c>
      <c r="M81" s="6">
        <v>10.829000000000001</v>
      </c>
      <c r="N81" s="6">
        <v>10.829000000000001</v>
      </c>
      <c r="O81" s="6">
        <v>10.829000000000001</v>
      </c>
      <c r="P81" s="6">
        <v>93</v>
      </c>
      <c r="Q81" s="4" t="s">
        <v>26</v>
      </c>
      <c r="R81" s="4">
        <v>0</v>
      </c>
      <c r="S81" s="4">
        <v>0</v>
      </c>
      <c r="T81" s="4">
        <v>7</v>
      </c>
      <c r="U81" s="4">
        <v>63</v>
      </c>
      <c r="V81" s="6">
        <f>IF(ISERROR(VLOOKUP($S$81,'TAR FIN'!$A$1:$O$85,15,0)),0,VLOOKUP($S$81,'TAR FIN'!$A$1:$O$85,15,0))</f>
        <v>0</v>
      </c>
      <c r="W81" s="6">
        <f>IF(ISERROR(VLOOKUP($T$81,'TAR FIN'!$A$1:$O$85,15,0)),0,VLOOKUP($T$81,'TAR FIN'!$A$1:$O$85,15,0))</f>
        <v>491.01</v>
      </c>
      <c r="X81" s="6">
        <f>IF(ISERROR(VLOOKUP($U$81,'TAR FIN'!$A$1:$O$85,15,0)),0,VLOOKUP($U$81,'TAR FIN'!$A$1:$O$85,15,0))</f>
        <v>107.98</v>
      </c>
      <c r="Y81" s="6"/>
      <c r="Z81" s="6">
        <f ca="1">('TUSD BE'!$AM$23+'TUSD BF'!$AM$23+'TUSD CVA'!$AM$23-('TUSD BE'!$P$23+'TUSD BF'!$P$23+'TUSD CVA'!$P$23)-('TUSD BE'!$Q$23+'TUSD BF'!$Q$23+'TUSD CVA'!$Q$23)-('TUSD BE'!$R$23+'TUSD BF'!$R$23+'TUSD CVA'!$R$23))*(1-CUSTOS!$M$36)</f>
        <v>500.33357648518529</v>
      </c>
      <c r="AA81" s="6">
        <f>('TE BE'!$AB$13+'TE BF'!$AB$13+'TE CVA'!$AB$13)*(1-CUSTOS!$M$36)</f>
        <v>110.32774214451051</v>
      </c>
      <c r="AB81" s="6">
        <f t="shared" si="6"/>
        <v>0</v>
      </c>
      <c r="AC81" s="6">
        <f>(L81-M81)*(W81+X81)+($W$82+$X$82-$W$81-$X$81)*(L81)</f>
        <v>720.56165999999985</v>
      </c>
      <c r="AD81" s="6">
        <f t="shared" si="7"/>
        <v>0</v>
      </c>
      <c r="AE81" s="6">
        <f ca="1">(L81-M81)*(Z81+AA81)+($Z$82+$AA$82-$Z$81-$AA$81)*(L81)</f>
        <v>734.76126882677556</v>
      </c>
      <c r="AF81" s="4" t="s">
        <v>626</v>
      </c>
    </row>
    <row r="82" spans="1:32" ht="11.25" customHeight="1" x14ac:dyDescent="0.3">
      <c r="A82" s="4" t="s">
        <v>21</v>
      </c>
      <c r="B82" s="4" t="s">
        <v>22</v>
      </c>
      <c r="C82" s="4" t="s">
        <v>23</v>
      </c>
      <c r="D82" s="4" t="s">
        <v>24</v>
      </c>
      <c r="E82" s="4" t="s">
        <v>32</v>
      </c>
      <c r="F82" s="4" t="s">
        <v>25</v>
      </c>
      <c r="G82" s="4" t="s">
        <v>25</v>
      </c>
      <c r="H82" s="4" t="s">
        <v>25</v>
      </c>
      <c r="I82" s="5">
        <v>44440</v>
      </c>
      <c r="J82" s="6">
        <v>0</v>
      </c>
      <c r="K82" s="6">
        <v>0</v>
      </c>
      <c r="L82" s="6">
        <v>1.62</v>
      </c>
      <c r="M82" s="6">
        <v>1.62</v>
      </c>
      <c r="N82" s="6">
        <v>1.62</v>
      </c>
      <c r="O82" s="6">
        <v>1.62</v>
      </c>
      <c r="P82" s="6">
        <v>26</v>
      </c>
      <c r="Q82" s="4" t="s">
        <v>26</v>
      </c>
      <c r="R82" s="4">
        <v>0</v>
      </c>
      <c r="S82" s="4">
        <v>0</v>
      </c>
      <c r="T82" s="4">
        <v>35</v>
      </c>
      <c r="U82" s="4">
        <v>79</v>
      </c>
      <c r="V82" s="6">
        <f>IF(ISERROR(VLOOKUP($S$82,'TAR FIN'!$A$1:$O$85,15,0)),0,VLOOKUP($S$82,'TAR FIN'!$A$1:$O$85,15,0))</f>
        <v>0</v>
      </c>
      <c r="W82" s="6">
        <f>IF(ISERROR(VLOOKUP($T$82,'TAR FIN'!$A$1:$O$85,15,0)),0,VLOOKUP($T$82,'TAR FIN'!$A$1:$O$85,15,0))</f>
        <v>545.55999999999995</v>
      </c>
      <c r="X82" s="6">
        <f>IF(ISERROR(VLOOKUP($U$82,'TAR FIN'!$A$1:$O$85,15,0)),0,VLOOKUP($U$82,'TAR FIN'!$A$1:$O$85,15,0))</f>
        <v>119.97</v>
      </c>
      <c r="Y82" s="6"/>
      <c r="Z82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82" s="6">
        <f>('TE BE'!$AB$14+'TE BF'!$AB$14+'TE CVA'!$AB$14)*(1-CUSTOS!$M$37)</f>
        <v>122.58638016056723</v>
      </c>
      <c r="AB82" s="6">
        <f t="shared" si="6"/>
        <v>0</v>
      </c>
      <c r="AC82" s="6">
        <f>(L82-M82)*(W82+X82)+($W$82+$X$82-$W$82-$X$82)*(L82)</f>
        <v>4.6043169277254495E-14</v>
      </c>
      <c r="AD82" s="6">
        <f t="shared" si="7"/>
        <v>0</v>
      </c>
      <c r="AE82" s="6">
        <f ca="1">(L82-M82)*(Z82+AA82)+($Z$82+$AA$82-$Z$82-$AA$82)*(L82)</f>
        <v>6.9064753915881743E-14</v>
      </c>
      <c r="AF82" s="4" t="s">
        <v>626</v>
      </c>
    </row>
    <row r="83" spans="1:32" ht="11.25" customHeight="1" x14ac:dyDescent="0.3">
      <c r="A83" s="4" t="s">
        <v>21</v>
      </c>
      <c r="B83" s="4" t="s">
        <v>22</v>
      </c>
      <c r="C83" s="4" t="s">
        <v>23</v>
      </c>
      <c r="D83" s="4" t="s">
        <v>24</v>
      </c>
      <c r="E83" s="4" t="s">
        <v>32</v>
      </c>
      <c r="F83" s="4" t="s">
        <v>25</v>
      </c>
      <c r="G83" s="4" t="s">
        <v>25</v>
      </c>
      <c r="H83" s="4" t="s">
        <v>25</v>
      </c>
      <c r="I83" s="5">
        <v>44470</v>
      </c>
      <c r="J83" s="6">
        <v>0</v>
      </c>
      <c r="K83" s="6">
        <v>0</v>
      </c>
      <c r="L83" s="6">
        <v>2.931</v>
      </c>
      <c r="M83" s="6">
        <v>2.931</v>
      </c>
      <c r="N83" s="6">
        <v>2.931</v>
      </c>
      <c r="O83" s="6">
        <v>2.931</v>
      </c>
      <c r="P83" s="6">
        <v>38</v>
      </c>
      <c r="Q83" s="4" t="s">
        <v>26</v>
      </c>
      <c r="R83" s="4">
        <v>0</v>
      </c>
      <c r="S83" s="4">
        <v>0</v>
      </c>
      <c r="T83" s="4">
        <v>35</v>
      </c>
      <c r="U83" s="4">
        <v>79</v>
      </c>
      <c r="V83" s="6">
        <f>IF(ISERROR(VLOOKUP($S$83,'TAR FIN'!$A$1:$O$85,15,0)),0,VLOOKUP($S$83,'TAR FIN'!$A$1:$O$85,15,0))</f>
        <v>0</v>
      </c>
      <c r="W83" s="6">
        <f>IF(ISERROR(VLOOKUP($T$83,'TAR FIN'!$A$1:$O$85,15,0)),0,VLOOKUP($T$83,'TAR FIN'!$A$1:$O$85,15,0))</f>
        <v>545.55999999999995</v>
      </c>
      <c r="X83" s="6">
        <f>IF(ISERROR(VLOOKUP($U$83,'TAR FIN'!$A$1:$O$85,15,0)),0,VLOOKUP($U$83,'TAR FIN'!$A$1:$O$85,15,0))</f>
        <v>119.97</v>
      </c>
      <c r="Y83" s="6"/>
      <c r="Z83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83" s="6">
        <f>('TE BE'!$AB$14+'TE BF'!$AB$14+'TE CVA'!$AB$14)*(1-CUSTOS!$M$37)</f>
        <v>122.58638016056723</v>
      </c>
      <c r="AB83" s="6">
        <f t="shared" si="6"/>
        <v>0</v>
      </c>
      <c r="AC83" s="6">
        <f>(L83-M83)*(W83+X83)+($W$82+$X$82-$W$83-$X$83)*(L83)</f>
        <v>8.3304030340514147E-14</v>
      </c>
      <c r="AD83" s="6">
        <f t="shared" si="7"/>
        <v>0</v>
      </c>
      <c r="AE83" s="6">
        <f ca="1">(L83-M83)*(Z83+AA83)+($Z$82+$AA$82-$Z$83-$AA$83)*(L83)</f>
        <v>1.2495604551077121E-13</v>
      </c>
      <c r="AF83" s="4" t="s">
        <v>626</v>
      </c>
    </row>
    <row r="84" spans="1:32" ht="11.25" customHeight="1" x14ac:dyDescent="0.3">
      <c r="A84" s="4" t="s">
        <v>21</v>
      </c>
      <c r="B84" s="4" t="s">
        <v>22</v>
      </c>
      <c r="C84" s="4" t="s">
        <v>23</v>
      </c>
      <c r="D84" s="4" t="s">
        <v>24</v>
      </c>
      <c r="E84" s="4" t="s">
        <v>32</v>
      </c>
      <c r="F84" s="4" t="s">
        <v>25</v>
      </c>
      <c r="G84" s="4" t="s">
        <v>25</v>
      </c>
      <c r="H84" s="4" t="s">
        <v>25</v>
      </c>
      <c r="I84" s="5">
        <v>44501</v>
      </c>
      <c r="J84" s="6">
        <v>0</v>
      </c>
      <c r="K84" s="6">
        <v>0</v>
      </c>
      <c r="L84" s="6">
        <v>2.2109999999999999</v>
      </c>
      <c r="M84" s="6">
        <v>2.2109999999999999</v>
      </c>
      <c r="N84" s="6">
        <v>2.2109999999999999</v>
      </c>
      <c r="O84" s="6">
        <v>2.2109999999999999</v>
      </c>
      <c r="P84" s="6">
        <v>31</v>
      </c>
      <c r="Q84" s="4" t="s">
        <v>26</v>
      </c>
      <c r="R84" s="4">
        <v>0</v>
      </c>
      <c r="S84" s="4">
        <v>0</v>
      </c>
      <c r="T84" s="4">
        <v>35</v>
      </c>
      <c r="U84" s="4">
        <v>79</v>
      </c>
      <c r="V84" s="6">
        <f>IF(ISERROR(VLOOKUP($S$84,'TAR FIN'!$A$1:$O$85,15,0)),0,VLOOKUP($S$84,'TAR FIN'!$A$1:$O$85,15,0))</f>
        <v>0</v>
      </c>
      <c r="W84" s="6">
        <f>IF(ISERROR(VLOOKUP($T$84,'TAR FIN'!$A$1:$O$85,15,0)),0,VLOOKUP($T$84,'TAR FIN'!$A$1:$O$85,15,0))</f>
        <v>545.55999999999995</v>
      </c>
      <c r="X84" s="6">
        <f>IF(ISERROR(VLOOKUP($U$84,'TAR FIN'!$A$1:$O$85,15,0)),0,VLOOKUP($U$84,'TAR FIN'!$A$1:$O$85,15,0))</f>
        <v>119.97</v>
      </c>
      <c r="Y84" s="6"/>
      <c r="Z84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84" s="6">
        <f>('TE BE'!$AB$14+'TE BF'!$AB$14+'TE CVA'!$AB$14)*(1-CUSTOS!$M$37)</f>
        <v>122.58638016056723</v>
      </c>
      <c r="AB84" s="6">
        <f t="shared" si="6"/>
        <v>0</v>
      </c>
      <c r="AC84" s="6">
        <f>(L84-M84)*(W84+X84)+($W$82+$X$82-$W$84-$X$84)*(L84)</f>
        <v>6.2840399550623256E-14</v>
      </c>
      <c r="AD84" s="6">
        <f t="shared" si="7"/>
        <v>0</v>
      </c>
      <c r="AE84" s="6">
        <f ca="1">(L84-M84)*(Z84+AA84)+($Z$82+$AA$82-$Z$84-$AA$84)*(L84)</f>
        <v>9.4260599325934878E-14</v>
      </c>
      <c r="AF84" s="4" t="s">
        <v>626</v>
      </c>
    </row>
    <row r="85" spans="1:32" ht="11.25" customHeight="1" x14ac:dyDescent="0.3">
      <c r="A85" s="4" t="s">
        <v>21</v>
      </c>
      <c r="B85" s="4" t="s">
        <v>22</v>
      </c>
      <c r="C85" s="4" t="s">
        <v>23</v>
      </c>
      <c r="D85" s="4" t="s">
        <v>24</v>
      </c>
      <c r="E85" s="4" t="s">
        <v>32</v>
      </c>
      <c r="F85" s="4" t="s">
        <v>25</v>
      </c>
      <c r="G85" s="4" t="s">
        <v>25</v>
      </c>
      <c r="H85" s="4" t="s">
        <v>25</v>
      </c>
      <c r="I85" s="5">
        <v>44531</v>
      </c>
      <c r="J85" s="6">
        <v>0</v>
      </c>
      <c r="K85" s="6">
        <v>0</v>
      </c>
      <c r="L85" s="6">
        <v>2.2970000000000002</v>
      </c>
      <c r="M85" s="6">
        <v>2.2970000000000002</v>
      </c>
      <c r="N85" s="6">
        <v>2.2970000000000002</v>
      </c>
      <c r="O85" s="6">
        <v>2.2970000000000002</v>
      </c>
      <c r="P85" s="6">
        <v>34</v>
      </c>
      <c r="Q85" s="4" t="s">
        <v>26</v>
      </c>
      <c r="R85" s="4">
        <v>0</v>
      </c>
      <c r="S85" s="4">
        <v>0</v>
      </c>
      <c r="T85" s="4">
        <v>35</v>
      </c>
      <c r="U85" s="4">
        <v>79</v>
      </c>
      <c r="V85" s="6">
        <f>IF(ISERROR(VLOOKUP($S$85,'TAR FIN'!$A$1:$O$85,15,0)),0,VLOOKUP($S$85,'TAR FIN'!$A$1:$O$85,15,0))</f>
        <v>0</v>
      </c>
      <c r="W85" s="6">
        <f>IF(ISERROR(VLOOKUP($T$85,'TAR FIN'!$A$1:$O$85,15,0)),0,VLOOKUP($T$85,'TAR FIN'!$A$1:$O$85,15,0))</f>
        <v>545.55999999999995</v>
      </c>
      <c r="X85" s="6">
        <f>IF(ISERROR(VLOOKUP($U$85,'TAR FIN'!$A$1:$O$85,15,0)),0,VLOOKUP($U$85,'TAR FIN'!$A$1:$O$85,15,0))</f>
        <v>119.97</v>
      </c>
      <c r="Y85" s="6"/>
      <c r="Z85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85" s="6">
        <f>('TE BE'!$AB$14+'TE BF'!$AB$14+'TE CVA'!$AB$14)*(1-CUSTOS!$M$37)</f>
        <v>122.58638016056723</v>
      </c>
      <c r="AB85" s="6">
        <f t="shared" si="6"/>
        <v>0</v>
      </c>
      <c r="AC85" s="6">
        <f>(L85-M85)*(W85+X85)+($W$82+$X$82-$W$85-$X$85)*(L85)</f>
        <v>6.5284666561638009E-14</v>
      </c>
      <c r="AD85" s="6">
        <f t="shared" si="7"/>
        <v>0</v>
      </c>
      <c r="AE85" s="6">
        <f ca="1">(L85-M85)*(Z85+AA85)+($Z$82+$AA$82-$Z$85-$AA$85)*(L85)</f>
        <v>9.7926999842457008E-14</v>
      </c>
      <c r="AF85" s="4" t="s">
        <v>626</v>
      </c>
    </row>
    <row r="86" spans="1:32" ht="11.25" customHeight="1" x14ac:dyDescent="0.3">
      <c r="A86" s="4" t="s">
        <v>21</v>
      </c>
      <c r="B86" s="4" t="s">
        <v>22</v>
      </c>
      <c r="C86" s="4" t="s">
        <v>23</v>
      </c>
      <c r="D86" s="4" t="s">
        <v>24</v>
      </c>
      <c r="E86" s="4" t="s">
        <v>32</v>
      </c>
      <c r="F86" s="4" t="s">
        <v>25</v>
      </c>
      <c r="G86" s="4" t="s">
        <v>25</v>
      </c>
      <c r="H86" s="4" t="s">
        <v>25</v>
      </c>
      <c r="I86" s="5">
        <v>44562</v>
      </c>
      <c r="J86" s="6">
        <v>0</v>
      </c>
      <c r="K86" s="6">
        <v>0</v>
      </c>
      <c r="L86" s="6">
        <v>4.3019999999999996</v>
      </c>
      <c r="M86" s="6">
        <v>4.3019999999999996</v>
      </c>
      <c r="N86" s="6">
        <v>4.3019999999999996</v>
      </c>
      <c r="O86" s="6">
        <v>4.3019999999999996</v>
      </c>
      <c r="P86" s="6">
        <v>48</v>
      </c>
      <c r="Q86" s="4" t="s">
        <v>26</v>
      </c>
      <c r="R86" s="4">
        <v>0</v>
      </c>
      <c r="S86" s="4">
        <v>0</v>
      </c>
      <c r="T86" s="4">
        <v>35</v>
      </c>
      <c r="U86" s="4">
        <v>79</v>
      </c>
      <c r="V86" s="6">
        <f>IF(ISERROR(VLOOKUP($S$86,'TAR FIN'!$A$1:$O$85,15,0)),0,VLOOKUP($S$86,'TAR FIN'!$A$1:$O$85,15,0))</f>
        <v>0</v>
      </c>
      <c r="W86" s="6">
        <f>IF(ISERROR(VLOOKUP($T$86,'TAR FIN'!$A$1:$O$85,15,0)),0,VLOOKUP($T$86,'TAR FIN'!$A$1:$O$85,15,0))</f>
        <v>545.55999999999995</v>
      </c>
      <c r="X86" s="6">
        <f>IF(ISERROR(VLOOKUP($U$86,'TAR FIN'!$A$1:$O$85,15,0)),0,VLOOKUP($U$86,'TAR FIN'!$A$1:$O$85,15,0))</f>
        <v>119.97</v>
      </c>
      <c r="Y86" s="6"/>
      <c r="Z86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86" s="6">
        <f>('TE BE'!$AB$14+'TE BF'!$AB$14+'TE CVA'!$AB$14)*(1-CUSTOS!$M$37)</f>
        <v>122.58638016056723</v>
      </c>
      <c r="AB86" s="6">
        <f t="shared" si="6"/>
        <v>0</v>
      </c>
      <c r="AC86" s="6">
        <f>(L86-M86)*(W86+X86)+($W$82+$X$82-$W$86-$X$86)*(L86)</f>
        <v>1.2227019396959803E-13</v>
      </c>
      <c r="AD86" s="6">
        <f t="shared" si="7"/>
        <v>0</v>
      </c>
      <c r="AE86" s="6">
        <f ca="1">(L86-M86)*(Z86+AA86)+($Z$82+$AA$82-$Z$86-$AA$86)*(L86)</f>
        <v>1.8340529095439704E-13</v>
      </c>
      <c r="AF86" s="4" t="s">
        <v>626</v>
      </c>
    </row>
    <row r="87" spans="1:32" ht="11.25" customHeight="1" x14ac:dyDescent="0.3">
      <c r="A87" s="4" t="s">
        <v>21</v>
      </c>
      <c r="B87" s="4" t="s">
        <v>22</v>
      </c>
      <c r="C87" s="4" t="s">
        <v>23</v>
      </c>
      <c r="D87" s="4" t="s">
        <v>24</v>
      </c>
      <c r="E87" s="4" t="s">
        <v>32</v>
      </c>
      <c r="F87" s="4" t="s">
        <v>25</v>
      </c>
      <c r="G87" s="4" t="s">
        <v>25</v>
      </c>
      <c r="H87" s="4" t="s">
        <v>25</v>
      </c>
      <c r="I87" s="5">
        <v>44593</v>
      </c>
      <c r="J87" s="6">
        <v>0</v>
      </c>
      <c r="K87" s="6">
        <v>0</v>
      </c>
      <c r="L87" s="6">
        <v>7.4379999999999997</v>
      </c>
      <c r="M87" s="6">
        <v>7.4379999999999997</v>
      </c>
      <c r="N87" s="6">
        <v>7.4379999999999997</v>
      </c>
      <c r="O87" s="6">
        <v>7.4379999999999997</v>
      </c>
      <c r="P87" s="6">
        <v>58</v>
      </c>
      <c r="Q87" s="4" t="s">
        <v>26</v>
      </c>
      <c r="R87" s="4">
        <v>0</v>
      </c>
      <c r="S87" s="4">
        <v>0</v>
      </c>
      <c r="T87" s="4">
        <v>35</v>
      </c>
      <c r="U87" s="4">
        <v>79</v>
      </c>
      <c r="V87" s="6">
        <f>IF(ISERROR(VLOOKUP($S$87,'TAR FIN'!$A$1:$O$85,15,0)),0,VLOOKUP($S$87,'TAR FIN'!$A$1:$O$85,15,0))</f>
        <v>0</v>
      </c>
      <c r="W87" s="6">
        <f>IF(ISERROR(VLOOKUP($T$87,'TAR FIN'!$A$1:$O$85,15,0)),0,VLOOKUP($T$87,'TAR FIN'!$A$1:$O$85,15,0))</f>
        <v>545.55999999999995</v>
      </c>
      <c r="X87" s="6">
        <f>IF(ISERROR(VLOOKUP($U$87,'TAR FIN'!$A$1:$O$85,15,0)),0,VLOOKUP($U$87,'TAR FIN'!$A$1:$O$85,15,0))</f>
        <v>119.97</v>
      </c>
      <c r="Y87" s="6"/>
      <c r="Z87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87" s="6">
        <f>('TE BE'!$AB$14+'TE BF'!$AB$14+'TE CVA'!$AB$14)*(1-CUSTOS!$M$37)</f>
        <v>122.58638016056723</v>
      </c>
      <c r="AB87" s="6">
        <f t="shared" si="6"/>
        <v>0</v>
      </c>
      <c r="AC87" s="6">
        <f>(L87-M87)*(W87+X87)+($W$82+$X$82-$W$87-$X$87)*(L87)</f>
        <v>2.11400674743345E-13</v>
      </c>
      <c r="AD87" s="6">
        <f t="shared" si="7"/>
        <v>0</v>
      </c>
      <c r="AE87" s="6">
        <f ca="1">(L87-M87)*(Z87+AA87)+($Z$82+$AA$82-$Z$87-$AA$87)*(L87)</f>
        <v>3.1710101211501751E-13</v>
      </c>
      <c r="AF87" s="4" t="s">
        <v>626</v>
      </c>
    </row>
    <row r="88" spans="1:32" ht="11.25" customHeight="1" x14ac:dyDescent="0.3">
      <c r="A88" s="4" t="s">
        <v>21</v>
      </c>
      <c r="B88" s="4" t="s">
        <v>22</v>
      </c>
      <c r="C88" s="4" t="s">
        <v>23</v>
      </c>
      <c r="D88" s="4" t="s">
        <v>24</v>
      </c>
      <c r="E88" s="4" t="s">
        <v>32</v>
      </c>
      <c r="F88" s="4" t="s">
        <v>25</v>
      </c>
      <c r="G88" s="4" t="s">
        <v>25</v>
      </c>
      <c r="H88" s="4" t="s">
        <v>25</v>
      </c>
      <c r="I88" s="5">
        <v>44621</v>
      </c>
      <c r="J88" s="6">
        <v>0</v>
      </c>
      <c r="K88" s="6">
        <v>0</v>
      </c>
      <c r="L88" s="6">
        <v>5.5119999999999996</v>
      </c>
      <c r="M88" s="6">
        <v>5.5119999999999996</v>
      </c>
      <c r="N88" s="6">
        <v>5.5119999999999996</v>
      </c>
      <c r="O88" s="6">
        <v>5.5119999999999996</v>
      </c>
      <c r="P88" s="6">
        <v>51</v>
      </c>
      <c r="Q88" s="4" t="s">
        <v>26</v>
      </c>
      <c r="R88" s="4">
        <v>0</v>
      </c>
      <c r="S88" s="4">
        <v>0</v>
      </c>
      <c r="T88" s="4">
        <v>35</v>
      </c>
      <c r="U88" s="4">
        <v>79</v>
      </c>
      <c r="V88" s="6">
        <f>IF(ISERROR(VLOOKUP($S$88,'TAR FIN'!$A$1:$O$85,15,0)),0,VLOOKUP($S$88,'TAR FIN'!$A$1:$O$85,15,0))</f>
        <v>0</v>
      </c>
      <c r="W88" s="6">
        <f>IF(ISERROR(VLOOKUP($T$88,'TAR FIN'!$A$1:$O$85,15,0)),0,VLOOKUP($T$88,'TAR FIN'!$A$1:$O$85,15,0))</f>
        <v>545.55999999999995</v>
      </c>
      <c r="X88" s="6">
        <f>IF(ISERROR(VLOOKUP($U$88,'TAR FIN'!$A$1:$O$85,15,0)),0,VLOOKUP($U$88,'TAR FIN'!$A$1:$O$85,15,0))</f>
        <v>119.97</v>
      </c>
      <c r="Y88" s="6"/>
      <c r="Z88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88" s="6">
        <f>('TE BE'!$AB$14+'TE BF'!$AB$14+'TE CVA'!$AB$14)*(1-CUSTOS!$M$37)</f>
        <v>122.58638016056723</v>
      </c>
      <c r="AB88" s="6">
        <f t="shared" si="6"/>
        <v>0</v>
      </c>
      <c r="AC88" s="6">
        <f>(L88-M88)*(W88+X88)+($W$82+$X$82-$W$88-$X$88)*(L88)</f>
        <v>1.5666046238038688E-13</v>
      </c>
      <c r="AD88" s="6">
        <f t="shared" si="7"/>
        <v>0</v>
      </c>
      <c r="AE88" s="6">
        <f ca="1">(L88-M88)*(Z88+AA88)+($Z$82+$AA$82-$Z$88-$AA$88)*(L88)</f>
        <v>2.349906935705803E-13</v>
      </c>
      <c r="AF88" s="4" t="s">
        <v>626</v>
      </c>
    </row>
    <row r="89" spans="1:32" ht="11.25" customHeight="1" x14ac:dyDescent="0.3">
      <c r="A89" s="4" t="s">
        <v>21</v>
      </c>
      <c r="B89" s="4" t="s">
        <v>22</v>
      </c>
      <c r="C89" s="4" t="s">
        <v>23</v>
      </c>
      <c r="D89" s="4" t="s">
        <v>24</v>
      </c>
      <c r="E89" s="4" t="s">
        <v>32</v>
      </c>
      <c r="F89" s="4" t="s">
        <v>25</v>
      </c>
      <c r="G89" s="4" t="s">
        <v>25</v>
      </c>
      <c r="H89" s="4" t="s">
        <v>25</v>
      </c>
      <c r="I89" s="5">
        <v>44652</v>
      </c>
      <c r="J89" s="6">
        <v>0</v>
      </c>
      <c r="K89" s="6">
        <v>0</v>
      </c>
      <c r="L89" s="6">
        <v>3.56</v>
      </c>
      <c r="M89" s="6">
        <v>3.56</v>
      </c>
      <c r="N89" s="6">
        <v>3.56</v>
      </c>
      <c r="O89" s="6">
        <v>3.56</v>
      </c>
      <c r="P89" s="6">
        <v>49</v>
      </c>
      <c r="Q89" s="4" t="s">
        <v>26</v>
      </c>
      <c r="R89" s="4">
        <v>0</v>
      </c>
      <c r="S89" s="4">
        <v>0</v>
      </c>
      <c r="T89" s="4">
        <v>35</v>
      </c>
      <c r="U89" s="4">
        <v>79</v>
      </c>
      <c r="V89" s="6">
        <f>IF(ISERROR(VLOOKUP($S$89,'TAR FIN'!$A$1:$O$85,15,0)),0,VLOOKUP($S$89,'TAR FIN'!$A$1:$O$85,15,0))</f>
        <v>0</v>
      </c>
      <c r="W89" s="6">
        <f>IF(ISERROR(VLOOKUP($T$89,'TAR FIN'!$A$1:$O$85,15,0)),0,VLOOKUP($T$89,'TAR FIN'!$A$1:$O$85,15,0))</f>
        <v>545.55999999999995</v>
      </c>
      <c r="X89" s="6">
        <f>IF(ISERROR(VLOOKUP($U$89,'TAR FIN'!$A$1:$O$85,15,0)),0,VLOOKUP($U$89,'TAR FIN'!$A$1:$O$85,15,0))</f>
        <v>119.97</v>
      </c>
      <c r="Y89" s="6"/>
      <c r="Z89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89" s="6">
        <f>('TE BE'!$AB$14+'TE BF'!$AB$14+'TE CVA'!$AB$14)*(1-CUSTOS!$M$37)</f>
        <v>122.58638016056723</v>
      </c>
      <c r="AB89" s="6">
        <f t="shared" si="6"/>
        <v>0</v>
      </c>
      <c r="AC89" s="6">
        <f>(L89-M89)*(W89+X89)+($W$82+$X$82-$W$89-$X$89)*(L89)</f>
        <v>1.0118128557223827E-13</v>
      </c>
      <c r="AD89" s="6">
        <f t="shared" si="7"/>
        <v>0</v>
      </c>
      <c r="AE89" s="6">
        <f ca="1">(L89-M89)*(Z89+AA89)+($Z$82+$AA$82-$Z$89-$AA$89)*(L89)</f>
        <v>1.517719283583574E-13</v>
      </c>
      <c r="AF89" s="4" t="s">
        <v>626</v>
      </c>
    </row>
    <row r="90" spans="1:32" ht="11.25" customHeight="1" x14ac:dyDescent="0.3">
      <c r="A90" s="4" t="s">
        <v>21</v>
      </c>
      <c r="B90" s="4" t="s">
        <v>22</v>
      </c>
      <c r="C90" s="4" t="s">
        <v>23</v>
      </c>
      <c r="D90" s="4" t="s">
        <v>24</v>
      </c>
      <c r="E90" s="4" t="s">
        <v>32</v>
      </c>
      <c r="F90" s="4" t="s">
        <v>25</v>
      </c>
      <c r="G90" s="4" t="s">
        <v>25</v>
      </c>
      <c r="H90" s="4" t="s">
        <v>25</v>
      </c>
      <c r="I90" s="5">
        <v>44682</v>
      </c>
      <c r="J90" s="6">
        <v>0</v>
      </c>
      <c r="K90" s="6">
        <v>0</v>
      </c>
      <c r="L90" s="6">
        <v>2.9620000000000002</v>
      </c>
      <c r="M90" s="6">
        <v>2.9620000000000002</v>
      </c>
      <c r="N90" s="6">
        <v>2.9620000000000002</v>
      </c>
      <c r="O90" s="6">
        <v>2.9620000000000002</v>
      </c>
      <c r="P90" s="6">
        <v>51</v>
      </c>
      <c r="Q90" s="4" t="s">
        <v>26</v>
      </c>
      <c r="R90" s="4">
        <v>0</v>
      </c>
      <c r="S90" s="4">
        <v>0</v>
      </c>
      <c r="T90" s="4">
        <v>35</v>
      </c>
      <c r="U90" s="4">
        <v>79</v>
      </c>
      <c r="V90" s="6">
        <f>IF(ISERROR(VLOOKUP($S$90,'TAR FIN'!$A$1:$O$85,15,0)),0,VLOOKUP($S$90,'TAR FIN'!$A$1:$O$85,15,0))</f>
        <v>0</v>
      </c>
      <c r="W90" s="6">
        <f>IF(ISERROR(VLOOKUP($T$90,'TAR FIN'!$A$1:$O$85,15,0)),0,VLOOKUP($T$90,'TAR FIN'!$A$1:$O$85,15,0))</f>
        <v>545.55999999999995</v>
      </c>
      <c r="X90" s="6">
        <f>IF(ISERROR(VLOOKUP($U$90,'TAR FIN'!$A$1:$O$85,15,0)),0,VLOOKUP($U$90,'TAR FIN'!$A$1:$O$85,15,0))</f>
        <v>119.97</v>
      </c>
      <c r="Y90" s="6"/>
      <c r="Z90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90" s="6">
        <f>('TE BE'!$AB$14+'TE BF'!$AB$14+'TE CVA'!$AB$14)*(1-CUSTOS!$M$37)</f>
        <v>122.58638016056723</v>
      </c>
      <c r="AB90" s="6">
        <f t="shared" si="6"/>
        <v>0</v>
      </c>
      <c r="AC90" s="6">
        <f>(L90-M90)*(W90+X90)+($W$82+$X$82-$W$90-$X$90)*(L90)</f>
        <v>8.4185103332856675E-14</v>
      </c>
      <c r="AD90" s="6">
        <f t="shared" si="7"/>
        <v>0</v>
      </c>
      <c r="AE90" s="6">
        <f ca="1">(L90-M90)*(Z90+AA90)+($Z$82+$AA$82-$Z$90-$AA$90)*(L90)</f>
        <v>1.2627765499928502E-13</v>
      </c>
      <c r="AF90" s="4" t="s">
        <v>626</v>
      </c>
    </row>
    <row r="91" spans="1:32" ht="11.25" customHeight="1" x14ac:dyDescent="0.3">
      <c r="A91" s="4" t="s">
        <v>21</v>
      </c>
      <c r="B91" s="4" t="s">
        <v>22</v>
      </c>
      <c r="C91" s="4" t="s">
        <v>23</v>
      </c>
      <c r="D91" s="4" t="s">
        <v>24</v>
      </c>
      <c r="E91" s="4" t="s">
        <v>32</v>
      </c>
      <c r="F91" s="4" t="s">
        <v>25</v>
      </c>
      <c r="G91" s="4" t="s">
        <v>25</v>
      </c>
      <c r="H91" s="4" t="s">
        <v>25</v>
      </c>
      <c r="I91" s="5">
        <v>44713</v>
      </c>
      <c r="J91" s="6">
        <v>0</v>
      </c>
      <c r="K91" s="6">
        <v>0</v>
      </c>
      <c r="L91" s="6">
        <v>6.2949999999999999</v>
      </c>
      <c r="M91" s="6">
        <v>6.2949999999999999</v>
      </c>
      <c r="N91" s="6">
        <v>6.2949999999999999</v>
      </c>
      <c r="O91" s="6">
        <v>6.2949999999999999</v>
      </c>
      <c r="P91" s="6">
        <v>65</v>
      </c>
      <c r="Q91" s="4" t="s">
        <v>26</v>
      </c>
      <c r="R91" s="4">
        <v>0</v>
      </c>
      <c r="S91" s="4">
        <v>0</v>
      </c>
      <c r="T91" s="4">
        <v>35</v>
      </c>
      <c r="U91" s="4">
        <v>79</v>
      </c>
      <c r="V91" s="6">
        <f>IF(ISERROR(VLOOKUP($S$91,'TAR FIN'!$A$1:$O$85,15,0)),0,VLOOKUP($S$91,'TAR FIN'!$A$1:$O$85,15,0))</f>
        <v>0</v>
      </c>
      <c r="W91" s="6">
        <f>IF(ISERROR(VLOOKUP($T$91,'TAR FIN'!$A$1:$O$85,15,0)),0,VLOOKUP($T$91,'TAR FIN'!$A$1:$O$85,15,0))</f>
        <v>545.55999999999995</v>
      </c>
      <c r="X91" s="6">
        <f>IF(ISERROR(VLOOKUP($U$91,'TAR FIN'!$A$1:$O$85,15,0)),0,VLOOKUP($U$91,'TAR FIN'!$A$1:$O$85,15,0))</f>
        <v>119.97</v>
      </c>
      <c r="Y91" s="6"/>
      <c r="Z91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91" s="6">
        <f>('TE BE'!$AB$14+'TE BF'!$AB$14+'TE CVA'!$AB$14)*(1-CUSTOS!$M$37)</f>
        <v>122.58638016056723</v>
      </c>
      <c r="AB91" s="6">
        <f t="shared" si="6"/>
        <v>0</v>
      </c>
      <c r="AC91" s="6">
        <f>(L91-M91)*(W91+X91)+($W$82+$X$82-$W$91-$X$91)*(L91)</f>
        <v>1.7891466086439322E-13</v>
      </c>
      <c r="AD91" s="6">
        <f t="shared" si="7"/>
        <v>0</v>
      </c>
      <c r="AE91" s="6">
        <f ca="1">(L91-M91)*(Z91+AA91)+($Z$82+$AA$82-$Z$91-$AA$91)*(L91)</f>
        <v>2.6837199129658981E-13</v>
      </c>
      <c r="AF91" s="4" t="s">
        <v>626</v>
      </c>
    </row>
    <row r="92" spans="1:32" ht="11.25" customHeight="1" x14ac:dyDescent="0.3">
      <c r="A92" s="4" t="s">
        <v>21</v>
      </c>
      <c r="B92" s="4" t="s">
        <v>22</v>
      </c>
      <c r="C92" s="4" t="s">
        <v>23</v>
      </c>
      <c r="D92" s="4" t="s">
        <v>24</v>
      </c>
      <c r="E92" s="4" t="s">
        <v>32</v>
      </c>
      <c r="F92" s="4" t="s">
        <v>25</v>
      </c>
      <c r="G92" s="4" t="s">
        <v>25</v>
      </c>
      <c r="H92" s="4" t="s">
        <v>25</v>
      </c>
      <c r="I92" s="5">
        <v>44743</v>
      </c>
      <c r="J92" s="6">
        <v>0</v>
      </c>
      <c r="K92" s="6">
        <v>0</v>
      </c>
      <c r="L92" s="6">
        <v>3.0920000000000001</v>
      </c>
      <c r="M92" s="6">
        <v>3.0920000000000001</v>
      </c>
      <c r="N92" s="6">
        <v>3.0920000000000001</v>
      </c>
      <c r="O92" s="6">
        <v>3.0920000000000001</v>
      </c>
      <c r="P92" s="6">
        <v>47</v>
      </c>
      <c r="Q92" s="4" t="s">
        <v>26</v>
      </c>
      <c r="R92" s="4">
        <v>0</v>
      </c>
      <c r="S92" s="4">
        <v>0</v>
      </c>
      <c r="T92" s="4">
        <v>35</v>
      </c>
      <c r="U92" s="4">
        <v>79</v>
      </c>
      <c r="V92" s="6">
        <f>IF(ISERROR(VLOOKUP($S$92,'TAR FIN'!$A$1:$O$85,15,0)),0,VLOOKUP($S$92,'TAR FIN'!$A$1:$O$85,15,0))</f>
        <v>0</v>
      </c>
      <c r="W92" s="6">
        <f>IF(ISERROR(VLOOKUP($T$92,'TAR FIN'!$A$1:$O$85,15,0)),0,VLOOKUP($T$92,'TAR FIN'!$A$1:$O$85,15,0))</f>
        <v>545.55999999999995</v>
      </c>
      <c r="X92" s="6">
        <f>IF(ISERROR(VLOOKUP($U$92,'TAR FIN'!$A$1:$O$85,15,0)),0,VLOOKUP($U$92,'TAR FIN'!$A$1:$O$85,15,0))</f>
        <v>119.97</v>
      </c>
      <c r="Y92" s="6"/>
      <c r="Z92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92" s="6">
        <f>('TE BE'!$AB$14+'TE BF'!$AB$14+'TE CVA'!$AB$14)*(1-CUSTOS!$M$37)</f>
        <v>122.58638016056723</v>
      </c>
      <c r="AB92" s="6">
        <f t="shared" si="6"/>
        <v>0</v>
      </c>
      <c r="AC92" s="6">
        <f>(L92-M92)*(W92+X92)+($W$82+$X$82-$W$92-$X$92)*(L92)</f>
        <v>8.7879925558809193E-14</v>
      </c>
      <c r="AD92" s="6">
        <f t="shared" si="7"/>
        <v>0</v>
      </c>
      <c r="AE92" s="6">
        <f ca="1">(L92-M92)*(Z92+AA92)+($Z$82+$AA$82-$Z$92-$AA$92)*(L92)</f>
        <v>1.3181988833821378E-13</v>
      </c>
      <c r="AF92" s="4" t="s">
        <v>626</v>
      </c>
    </row>
    <row r="93" spans="1:32" ht="11.25" customHeight="1" x14ac:dyDescent="0.3">
      <c r="A93" s="4" t="s">
        <v>52</v>
      </c>
      <c r="B93" s="4" t="s">
        <v>22</v>
      </c>
      <c r="C93" s="4" t="s">
        <v>23</v>
      </c>
      <c r="D93" s="4" t="s">
        <v>24</v>
      </c>
      <c r="E93" s="4" t="s">
        <v>32</v>
      </c>
      <c r="F93" s="4" t="s">
        <v>25</v>
      </c>
      <c r="G93" s="4" t="s">
        <v>25</v>
      </c>
      <c r="H93" s="4" t="s">
        <v>25</v>
      </c>
      <c r="I93" s="5">
        <v>44774</v>
      </c>
      <c r="J93" s="6">
        <v>0</v>
      </c>
      <c r="K93" s="6">
        <v>0</v>
      </c>
      <c r="L93" s="6">
        <v>3.0920000000000001</v>
      </c>
      <c r="M93" s="6">
        <v>3.0920000000000001</v>
      </c>
      <c r="N93" s="6">
        <v>3.0920000000000001</v>
      </c>
      <c r="O93" s="6">
        <v>3.0920000000000001</v>
      </c>
      <c r="P93" s="6">
        <v>47</v>
      </c>
      <c r="Q93" s="4" t="s">
        <v>26</v>
      </c>
      <c r="R93" s="4">
        <v>0</v>
      </c>
      <c r="S93" s="4">
        <v>0</v>
      </c>
      <c r="T93" s="4">
        <v>35</v>
      </c>
      <c r="U93" s="4">
        <v>79</v>
      </c>
      <c r="V93" s="6">
        <f>IF(ISERROR(VLOOKUP($S$93,'TAR FIN'!$A$1:$O$85,15,0)),0,VLOOKUP($S$93,'TAR FIN'!$A$1:$O$85,15,0))</f>
        <v>0</v>
      </c>
      <c r="W93" s="6">
        <f>IF(ISERROR(VLOOKUP($T$93,'TAR FIN'!$A$1:$O$85,15,0)),0,VLOOKUP($T$93,'TAR FIN'!$A$1:$O$85,15,0))</f>
        <v>545.55999999999995</v>
      </c>
      <c r="X93" s="6">
        <f>IF(ISERROR(VLOOKUP($U$93,'TAR FIN'!$A$1:$O$85,15,0)),0,VLOOKUP($U$93,'TAR FIN'!$A$1:$O$85,15,0))</f>
        <v>119.97</v>
      </c>
      <c r="Y93" s="6"/>
      <c r="Z93" s="6">
        <f ca="1">('TUSD BE'!$AM$24+'TUSD BF'!$AM$24+'TUSD CVA'!$AM$24-('TUSD BE'!$P$24+'TUSD BF'!$P$24+'TUSD CVA'!$P$24)-('TUSD BE'!$Q$24+'TUSD BF'!$Q$24+'TUSD CVA'!$Q$24)-('TUSD BE'!$R$24+'TUSD BF'!$R$24+'TUSD CVA'!$R$24))*(1-CUSTOS!$M$37)</f>
        <v>555.92619609465032</v>
      </c>
      <c r="AA93" s="6">
        <f>('TE BE'!$AB$14+'TE BF'!$AB$14+'TE CVA'!$AB$14)*(1-CUSTOS!$M$37)</f>
        <v>122.58638016056723</v>
      </c>
      <c r="AB93" s="6">
        <f t="shared" si="6"/>
        <v>0</v>
      </c>
      <c r="AC93" s="6">
        <f>(L93-M93)*(W93+X93)+($W$82+$X$82-$W$93-$X$93)*(L93)</f>
        <v>8.7879925558809193E-14</v>
      </c>
      <c r="AD93" s="6">
        <f t="shared" si="7"/>
        <v>0</v>
      </c>
      <c r="AE93" s="6">
        <f ca="1">(L93-M93)*(Z93+AA93)+($Z$82+$AA$82-$Z$93-$AA$93)*(L93)</f>
        <v>1.3181988833821378E-13</v>
      </c>
      <c r="AF93" s="4" t="s">
        <v>626</v>
      </c>
    </row>
    <row r="94" spans="1:32" ht="11.25" customHeight="1" x14ac:dyDescent="0.3">
      <c r="A94" s="4" t="s">
        <v>21</v>
      </c>
      <c r="B94" s="4" t="s">
        <v>42</v>
      </c>
      <c r="C94" s="4" t="s">
        <v>23</v>
      </c>
      <c r="D94" s="4" t="s">
        <v>43</v>
      </c>
      <c r="E94" s="4" t="s">
        <v>25</v>
      </c>
      <c r="F94" s="4" t="s">
        <v>25</v>
      </c>
      <c r="G94" s="4" t="s">
        <v>25</v>
      </c>
      <c r="H94" s="4" t="s">
        <v>25</v>
      </c>
      <c r="I94" s="5">
        <v>44440</v>
      </c>
      <c r="J94" s="6">
        <v>0</v>
      </c>
      <c r="K94" s="6">
        <v>0</v>
      </c>
      <c r="L94" s="6">
        <v>236.78899999999999</v>
      </c>
      <c r="M94" s="6">
        <v>236.78899999999999</v>
      </c>
      <c r="N94" s="6">
        <v>236.78899999999999</v>
      </c>
      <c r="O94" s="6">
        <v>236.78899999999999</v>
      </c>
      <c r="P94" s="6">
        <v>716</v>
      </c>
      <c r="Q94" s="4" t="s">
        <v>26</v>
      </c>
      <c r="R94" s="4">
        <v>0</v>
      </c>
      <c r="S94" s="4">
        <v>0</v>
      </c>
      <c r="T94" s="4">
        <v>49</v>
      </c>
      <c r="U94" s="4">
        <v>59</v>
      </c>
      <c r="V94" s="6">
        <f>IF(ISERROR(VLOOKUP($S$94,'TAR FIN'!$A$1:$O$85,15,0)),0,VLOOKUP($S$94,'TAR FIN'!$A$1:$O$85,15,0))</f>
        <v>0</v>
      </c>
      <c r="W94" s="6">
        <f>IF(ISERROR(VLOOKUP($T$94,'TAR FIN'!$A$1:$O$85,15,0)),0,VLOOKUP($T$94,'TAR FIN'!$A$1:$O$85,15,0))</f>
        <v>535.97</v>
      </c>
      <c r="X94" s="6">
        <f>IF(ISERROR(VLOOKUP($U$94,'TAR FIN'!$A$1:$O$85,15,0)),0,VLOOKUP($U$94,'TAR FIN'!$A$1:$O$85,15,0))</f>
        <v>105.58</v>
      </c>
      <c r="Y94" s="6"/>
      <c r="Z94" s="6">
        <f ca="1">('TUSD BE'!$AM$33+'TUSD BF'!$AM$33+'TUSD CVA'!$AM$33)*(1-CUSTOS!$M$38)</f>
        <v>620.13355393673532</v>
      </c>
      <c r="AA94" s="6">
        <f>('TE BE'!$AB$23+'TE BF'!$AB$23+'TE CVA'!$AB$23)*(1-CUSTOS!$M$38)</f>
        <v>115.23119735093319</v>
      </c>
      <c r="AB94" s="6">
        <f t="shared" si="6"/>
        <v>0</v>
      </c>
      <c r="AC94" s="6">
        <f>(L94-M94)*(W94+X94)+($W$42+$X$42-$W$94-$X$94)*(L94)</f>
        <v>20714.301719999985</v>
      </c>
      <c r="AD94" s="6">
        <f t="shared" si="7"/>
        <v>0</v>
      </c>
      <c r="AE94" s="6">
        <f ca="1">(L94-M94)*(Z94+AA94)+($Z$42+$AA$42-$Z$94-$AA$94)*(L94)</f>
        <v>11114.443665488683</v>
      </c>
      <c r="AF94" s="4" t="s">
        <v>625</v>
      </c>
    </row>
    <row r="95" spans="1:32" ht="11.25" customHeight="1" x14ac:dyDescent="0.3">
      <c r="A95" s="4" t="s">
        <v>28</v>
      </c>
      <c r="B95" s="4" t="s">
        <v>42</v>
      </c>
      <c r="C95" s="4" t="s">
        <v>23</v>
      </c>
      <c r="D95" s="4" t="s">
        <v>43</v>
      </c>
      <c r="E95" s="4" t="s">
        <v>25</v>
      </c>
      <c r="F95" s="4" t="s">
        <v>25</v>
      </c>
      <c r="G95" s="4" t="s">
        <v>25</v>
      </c>
      <c r="H95" s="4" t="s">
        <v>25</v>
      </c>
      <c r="I95" s="5">
        <v>44440</v>
      </c>
      <c r="J95" s="6">
        <v>0</v>
      </c>
      <c r="K95" s="6">
        <v>0</v>
      </c>
      <c r="L95" s="6">
        <v>19.481999999999999</v>
      </c>
      <c r="M95" s="6">
        <v>19.481999999999999</v>
      </c>
      <c r="N95" s="6">
        <v>19.481999999999999</v>
      </c>
      <c r="O95" s="6">
        <v>19.481999999999999</v>
      </c>
      <c r="P95" s="6">
        <v>10</v>
      </c>
      <c r="Q95" s="4" t="s">
        <v>26</v>
      </c>
      <c r="R95" s="4">
        <v>0</v>
      </c>
      <c r="S95" s="4">
        <v>0</v>
      </c>
      <c r="T95" s="4">
        <v>49</v>
      </c>
      <c r="U95" s="4">
        <v>59</v>
      </c>
      <c r="V95" s="6">
        <f>IF(ISERROR(VLOOKUP($S$95,'TAR FIN'!$A$1:$O$85,15,0)),0,VLOOKUP($S$95,'TAR FIN'!$A$1:$O$85,15,0))</f>
        <v>0</v>
      </c>
      <c r="W95" s="6">
        <f>IF(ISERROR(VLOOKUP($T$95,'TAR FIN'!$A$1:$O$85,15,0)),0,VLOOKUP($T$95,'TAR FIN'!$A$1:$O$85,15,0))</f>
        <v>535.97</v>
      </c>
      <c r="X95" s="6">
        <f>IF(ISERROR(VLOOKUP($U$95,'TAR FIN'!$A$1:$O$85,15,0)),0,VLOOKUP($U$95,'TAR FIN'!$A$1:$O$85,15,0))</f>
        <v>105.58</v>
      </c>
      <c r="Y95" s="6"/>
      <c r="Z95" s="6">
        <f ca="1">('TUSD BE'!$AM$33+'TUSD BF'!$AM$33+'TUSD CVA'!$AM$33)*(1-CUSTOS!$M$38)</f>
        <v>620.13355393673532</v>
      </c>
      <c r="AA95" s="6">
        <f>('TE BE'!$AB$23+'TE BF'!$AB$23+'TE CVA'!$AB$23)*(1-CUSTOS!$M$38)</f>
        <v>115.23119735093319</v>
      </c>
      <c r="AB95" s="6">
        <f t="shared" si="6"/>
        <v>0</v>
      </c>
      <c r="AC95" s="6">
        <f>(L95-M95)*(W95+X95)+($W$42+$X$42-$W$95-$X$95)*(L95)</f>
        <v>1704.2853599999989</v>
      </c>
      <c r="AD95" s="6">
        <f t="shared" si="7"/>
        <v>0</v>
      </c>
      <c r="AE95" s="6">
        <f ca="1">(L95-M95)*(Z95+AA95)+($Z$42+$AA$42-$Z$95-$AA$95)*(L95)</f>
        <v>914.44953731402438</v>
      </c>
      <c r="AF95" s="4" t="s">
        <v>625</v>
      </c>
    </row>
    <row r="96" spans="1:32" ht="11.25" customHeight="1" x14ac:dyDescent="0.3">
      <c r="A96" s="4" t="s">
        <v>21</v>
      </c>
      <c r="B96" s="4" t="s">
        <v>42</v>
      </c>
      <c r="C96" s="4" t="s">
        <v>23</v>
      </c>
      <c r="D96" s="4" t="s">
        <v>43</v>
      </c>
      <c r="E96" s="4" t="s">
        <v>25</v>
      </c>
      <c r="F96" s="4" t="s">
        <v>25</v>
      </c>
      <c r="G96" s="4" t="s">
        <v>25</v>
      </c>
      <c r="H96" s="4" t="s">
        <v>25</v>
      </c>
      <c r="I96" s="5">
        <v>44470</v>
      </c>
      <c r="J96" s="6">
        <v>0</v>
      </c>
      <c r="K96" s="6">
        <v>0</v>
      </c>
      <c r="L96" s="6">
        <v>293.82499999999999</v>
      </c>
      <c r="M96" s="6">
        <v>293.82499999999999</v>
      </c>
      <c r="N96" s="6">
        <v>293.82499999999999</v>
      </c>
      <c r="O96" s="6">
        <v>293.82499999999999</v>
      </c>
      <c r="P96" s="6">
        <v>711</v>
      </c>
      <c r="Q96" s="4" t="s">
        <v>26</v>
      </c>
      <c r="R96" s="4">
        <v>0</v>
      </c>
      <c r="S96" s="4">
        <v>0</v>
      </c>
      <c r="T96" s="4">
        <v>49</v>
      </c>
      <c r="U96" s="4">
        <v>59</v>
      </c>
      <c r="V96" s="6">
        <f>IF(ISERROR(VLOOKUP($S$96,'TAR FIN'!$A$1:$O$85,15,0)),0,VLOOKUP($S$96,'TAR FIN'!$A$1:$O$85,15,0))</f>
        <v>0</v>
      </c>
      <c r="W96" s="6">
        <f>IF(ISERROR(VLOOKUP($T$96,'TAR FIN'!$A$1:$O$85,15,0)),0,VLOOKUP($T$96,'TAR FIN'!$A$1:$O$85,15,0))</f>
        <v>535.97</v>
      </c>
      <c r="X96" s="6">
        <f>IF(ISERROR(VLOOKUP($U$96,'TAR FIN'!$A$1:$O$85,15,0)),0,VLOOKUP($U$96,'TAR FIN'!$A$1:$O$85,15,0))</f>
        <v>105.58</v>
      </c>
      <c r="Y96" s="6"/>
      <c r="Z96" s="6">
        <f ca="1">('TUSD BE'!$AM$33+'TUSD BF'!$AM$33+'TUSD CVA'!$AM$33)*(1-CUSTOS!$M$38)</f>
        <v>620.13355393673532</v>
      </c>
      <c r="AA96" s="6">
        <f>('TE BE'!$AB$23+'TE BF'!$AB$23+'TE CVA'!$AB$23)*(1-CUSTOS!$M$38)</f>
        <v>115.23119735093319</v>
      </c>
      <c r="AB96" s="6">
        <f t="shared" si="6"/>
        <v>0</v>
      </c>
      <c r="AC96" s="6">
        <f>(L96-M96)*(W96+X96)+($W$42+$X$42-$W$96-$X$96)*(L96)</f>
        <v>25703.810999999983</v>
      </c>
      <c r="AD96" s="6">
        <f t="shared" si="7"/>
        <v>0</v>
      </c>
      <c r="AE96" s="6">
        <f ca="1">(L96-M96)*(Z96+AA96)+($Z$42+$AA$42-$Z$96-$AA$96)*(L96)</f>
        <v>13791.609449814867</v>
      </c>
      <c r="AF96" s="4" t="s">
        <v>625</v>
      </c>
    </row>
    <row r="97" spans="1:32" ht="11.25" customHeight="1" x14ac:dyDescent="0.3">
      <c r="A97" s="4" t="s">
        <v>27</v>
      </c>
      <c r="B97" s="4" t="s">
        <v>42</v>
      </c>
      <c r="C97" s="4" t="s">
        <v>23</v>
      </c>
      <c r="D97" s="4" t="s">
        <v>43</v>
      </c>
      <c r="E97" s="4" t="s">
        <v>25</v>
      </c>
      <c r="F97" s="4" t="s">
        <v>25</v>
      </c>
      <c r="G97" s="4" t="s">
        <v>25</v>
      </c>
      <c r="H97" s="4" t="s">
        <v>25</v>
      </c>
      <c r="I97" s="5">
        <v>44470</v>
      </c>
      <c r="J97" s="6">
        <v>0</v>
      </c>
      <c r="K97" s="6">
        <v>0</v>
      </c>
      <c r="L97" s="6">
        <v>-19.876000000000001</v>
      </c>
      <c r="M97" s="6">
        <v>-19.876000000000001</v>
      </c>
      <c r="N97" s="6">
        <v>-19.876000000000001</v>
      </c>
      <c r="O97" s="6">
        <v>-19.876000000000001</v>
      </c>
      <c r="P97" s="6">
        <v>0</v>
      </c>
      <c r="Q97" s="4" t="s">
        <v>26</v>
      </c>
      <c r="R97" s="4">
        <v>0</v>
      </c>
      <c r="S97" s="4">
        <v>0</v>
      </c>
      <c r="T97" s="4">
        <v>49</v>
      </c>
      <c r="U97" s="4">
        <v>59</v>
      </c>
      <c r="V97" s="6">
        <f>IF(ISERROR(VLOOKUP($S$97,'TAR FIN'!$A$1:$O$85,15,0)),0,VLOOKUP($S$97,'TAR FIN'!$A$1:$O$85,15,0))</f>
        <v>0</v>
      </c>
      <c r="W97" s="6">
        <f>IF(ISERROR(VLOOKUP($T$97,'TAR FIN'!$A$1:$O$85,15,0)),0,VLOOKUP($T$97,'TAR FIN'!$A$1:$O$85,15,0))</f>
        <v>535.97</v>
      </c>
      <c r="X97" s="6">
        <f>IF(ISERROR(VLOOKUP($U$97,'TAR FIN'!$A$1:$O$85,15,0)),0,VLOOKUP($U$97,'TAR FIN'!$A$1:$O$85,15,0))</f>
        <v>105.58</v>
      </c>
      <c r="Y97" s="6"/>
      <c r="Z97" s="6">
        <f ca="1">('TUSD BE'!$AM$33+'TUSD BF'!$AM$33+'TUSD CVA'!$AM$33)*(1-CUSTOS!$M$38)</f>
        <v>620.13355393673532</v>
      </c>
      <c r="AA97" s="6">
        <f>('TE BE'!$AB$23+'TE BF'!$AB$23+'TE CVA'!$AB$23)*(1-CUSTOS!$M$38)</f>
        <v>115.23119735093319</v>
      </c>
      <c r="AB97" s="6">
        <f t="shared" si="6"/>
        <v>0</v>
      </c>
      <c r="AC97" s="6">
        <f>(L97-M97)*(W97+X97)+($W$42+$X$42-$W$97-$X$97)*(L97)</f>
        <v>-1738.752479999999</v>
      </c>
      <c r="AD97" s="6">
        <f t="shared" si="7"/>
        <v>0</v>
      </c>
      <c r="AE97" s="6">
        <f ca="1">(L97-M97)*(Z97+AA97)+($Z$42+$AA$42-$Z$97-$AA$97)*(L97)</f>
        <v>-932.94317850598247</v>
      </c>
      <c r="AF97" s="4" t="s">
        <v>625</v>
      </c>
    </row>
    <row r="98" spans="1:32" ht="11.25" customHeight="1" x14ac:dyDescent="0.3">
      <c r="A98" s="4" t="s">
        <v>28</v>
      </c>
      <c r="B98" s="4" t="s">
        <v>42</v>
      </c>
      <c r="C98" s="4" t="s">
        <v>23</v>
      </c>
      <c r="D98" s="4" t="s">
        <v>43</v>
      </c>
      <c r="E98" s="4" t="s">
        <v>25</v>
      </c>
      <c r="F98" s="4" t="s">
        <v>25</v>
      </c>
      <c r="G98" s="4" t="s">
        <v>25</v>
      </c>
      <c r="H98" s="4" t="s">
        <v>25</v>
      </c>
      <c r="I98" s="5">
        <v>44470</v>
      </c>
      <c r="J98" s="6">
        <v>0</v>
      </c>
      <c r="K98" s="6">
        <v>0</v>
      </c>
      <c r="L98" s="6">
        <v>16.452999999999999</v>
      </c>
      <c r="M98" s="6">
        <v>16.452999999999999</v>
      </c>
      <c r="N98" s="6">
        <v>16.452999999999999</v>
      </c>
      <c r="O98" s="6">
        <v>16.452999999999999</v>
      </c>
      <c r="P98" s="6">
        <v>12</v>
      </c>
      <c r="Q98" s="4" t="s">
        <v>26</v>
      </c>
      <c r="R98" s="4">
        <v>0</v>
      </c>
      <c r="S98" s="4">
        <v>0</v>
      </c>
      <c r="T98" s="4">
        <v>49</v>
      </c>
      <c r="U98" s="4">
        <v>59</v>
      </c>
      <c r="V98" s="6">
        <f>IF(ISERROR(VLOOKUP($S$98,'TAR FIN'!$A$1:$O$85,15,0)),0,VLOOKUP($S$98,'TAR FIN'!$A$1:$O$85,15,0))</f>
        <v>0</v>
      </c>
      <c r="W98" s="6">
        <f>IF(ISERROR(VLOOKUP($T$98,'TAR FIN'!$A$1:$O$85,15,0)),0,VLOOKUP($T$98,'TAR FIN'!$A$1:$O$85,15,0))</f>
        <v>535.97</v>
      </c>
      <c r="X98" s="6">
        <f>IF(ISERROR(VLOOKUP($U$98,'TAR FIN'!$A$1:$O$85,15,0)),0,VLOOKUP($U$98,'TAR FIN'!$A$1:$O$85,15,0))</f>
        <v>105.58</v>
      </c>
      <c r="Y98" s="6"/>
      <c r="Z98" s="6">
        <f ca="1">('TUSD BE'!$AM$33+'TUSD BF'!$AM$33+'TUSD CVA'!$AM$33)*(1-CUSTOS!$M$38)</f>
        <v>620.13355393673532</v>
      </c>
      <c r="AA98" s="6">
        <f>('TE BE'!$AB$23+'TE BF'!$AB$23+'TE CVA'!$AB$23)*(1-CUSTOS!$M$38)</f>
        <v>115.23119735093319</v>
      </c>
      <c r="AB98" s="6">
        <f t="shared" ref="AB98:AB122" si="8">(J98-K98)*V98</f>
        <v>0</v>
      </c>
      <c r="AC98" s="6">
        <f>(L98-M98)*(W98+X98)+($W$42+$X$42-$W$98-$X$98)*(L98)</f>
        <v>1439.3084399999991</v>
      </c>
      <c r="AD98" s="6">
        <f t="shared" ref="AD98:AD122" si="9">(J98-K98)*Y98</f>
        <v>0</v>
      </c>
      <c r="AE98" s="6">
        <f ca="1">(L98-M98)*(Z98+AA98)+($Z$42+$AA$42-$Z$98-$AA$98)*(L98)</f>
        <v>772.27380337889554</v>
      </c>
      <c r="AF98" s="4" t="s">
        <v>625</v>
      </c>
    </row>
    <row r="99" spans="1:32" ht="11.25" customHeight="1" x14ac:dyDescent="0.3">
      <c r="A99" s="4" t="s">
        <v>21</v>
      </c>
      <c r="B99" s="4" t="s">
        <v>42</v>
      </c>
      <c r="C99" s="4" t="s">
        <v>23</v>
      </c>
      <c r="D99" s="4" t="s">
        <v>43</v>
      </c>
      <c r="E99" s="4" t="s">
        <v>25</v>
      </c>
      <c r="F99" s="4" t="s">
        <v>25</v>
      </c>
      <c r="G99" s="4" t="s">
        <v>25</v>
      </c>
      <c r="H99" s="4" t="s">
        <v>25</v>
      </c>
      <c r="I99" s="5">
        <v>44501</v>
      </c>
      <c r="J99" s="6">
        <v>0</v>
      </c>
      <c r="K99" s="6">
        <v>0</v>
      </c>
      <c r="L99" s="6">
        <v>265.36500000000001</v>
      </c>
      <c r="M99" s="6">
        <v>265.36500000000001</v>
      </c>
      <c r="N99" s="6">
        <v>265.36500000000001</v>
      </c>
      <c r="O99" s="6">
        <v>265.36500000000001</v>
      </c>
      <c r="P99" s="6">
        <v>712</v>
      </c>
      <c r="Q99" s="4" t="s">
        <v>26</v>
      </c>
      <c r="R99" s="4">
        <v>0</v>
      </c>
      <c r="S99" s="4">
        <v>0</v>
      </c>
      <c r="T99" s="4">
        <v>49</v>
      </c>
      <c r="U99" s="4">
        <v>59</v>
      </c>
      <c r="V99" s="6">
        <f>IF(ISERROR(VLOOKUP($S$99,'TAR FIN'!$A$1:$O$85,15,0)),0,VLOOKUP($S$99,'TAR FIN'!$A$1:$O$85,15,0))</f>
        <v>0</v>
      </c>
      <c r="W99" s="6">
        <f>IF(ISERROR(VLOOKUP($T$99,'TAR FIN'!$A$1:$O$85,15,0)),0,VLOOKUP($T$99,'TAR FIN'!$A$1:$O$85,15,0))</f>
        <v>535.97</v>
      </c>
      <c r="X99" s="6">
        <f>IF(ISERROR(VLOOKUP($U$99,'TAR FIN'!$A$1:$O$85,15,0)),0,VLOOKUP($U$99,'TAR FIN'!$A$1:$O$85,15,0))</f>
        <v>105.58</v>
      </c>
      <c r="Y99" s="6"/>
      <c r="Z99" s="6">
        <f ca="1">('TUSD BE'!$AM$33+'TUSD BF'!$AM$33+'TUSD CVA'!$AM$33)*(1-CUSTOS!$M$38)</f>
        <v>620.13355393673532</v>
      </c>
      <c r="AA99" s="6">
        <f>('TE BE'!$AB$23+'TE BF'!$AB$23+'TE CVA'!$AB$23)*(1-CUSTOS!$M$38)</f>
        <v>115.23119735093319</v>
      </c>
      <c r="AB99" s="6">
        <f t="shared" si="8"/>
        <v>0</v>
      </c>
      <c r="AC99" s="6">
        <f>(L99-M99)*(W99+X99)+($W$42+$X$42-$W$99-$X$99)*(L99)</f>
        <v>23214.130199999985</v>
      </c>
      <c r="AD99" s="6">
        <f t="shared" si="9"/>
        <v>0</v>
      </c>
      <c r="AE99" s="6">
        <f ca="1">(L99-M99)*(Z99+AA99)+($Z$42+$AA$42-$Z$99-$AA$99)*(L99)</f>
        <v>12455.748971837394</v>
      </c>
      <c r="AF99" s="4" t="s">
        <v>625</v>
      </c>
    </row>
    <row r="100" spans="1:32" ht="11.25" customHeight="1" x14ac:dyDescent="0.3">
      <c r="A100" s="4" t="s">
        <v>21</v>
      </c>
      <c r="B100" s="4" t="s">
        <v>42</v>
      </c>
      <c r="C100" s="4" t="s">
        <v>23</v>
      </c>
      <c r="D100" s="4" t="s">
        <v>43</v>
      </c>
      <c r="E100" s="4" t="s">
        <v>25</v>
      </c>
      <c r="F100" s="4" t="s">
        <v>25</v>
      </c>
      <c r="G100" s="4" t="s">
        <v>25</v>
      </c>
      <c r="H100" s="4" t="s">
        <v>25</v>
      </c>
      <c r="I100" s="5">
        <v>44531</v>
      </c>
      <c r="J100" s="6">
        <v>0</v>
      </c>
      <c r="K100" s="6">
        <v>0</v>
      </c>
      <c r="L100" s="6">
        <v>251.61</v>
      </c>
      <c r="M100" s="6">
        <v>251.61</v>
      </c>
      <c r="N100" s="6">
        <v>251.61</v>
      </c>
      <c r="O100" s="6">
        <v>251.61</v>
      </c>
      <c r="P100" s="6">
        <v>711</v>
      </c>
      <c r="Q100" s="4" t="s">
        <v>26</v>
      </c>
      <c r="R100" s="4">
        <v>0</v>
      </c>
      <c r="S100" s="4">
        <v>0</v>
      </c>
      <c r="T100" s="4">
        <v>49</v>
      </c>
      <c r="U100" s="4">
        <v>59</v>
      </c>
      <c r="V100" s="6">
        <f>IF(ISERROR(VLOOKUP($S$100,'TAR FIN'!$A$1:$O$85,15,0)),0,VLOOKUP($S$100,'TAR FIN'!$A$1:$O$85,15,0))</f>
        <v>0</v>
      </c>
      <c r="W100" s="6">
        <f>IF(ISERROR(VLOOKUP($T$100,'TAR FIN'!$A$1:$O$85,15,0)),0,VLOOKUP($T$100,'TAR FIN'!$A$1:$O$85,15,0))</f>
        <v>535.97</v>
      </c>
      <c r="X100" s="6">
        <f>IF(ISERROR(VLOOKUP($U$100,'TAR FIN'!$A$1:$O$85,15,0)),0,VLOOKUP($U$100,'TAR FIN'!$A$1:$O$85,15,0))</f>
        <v>105.58</v>
      </c>
      <c r="Y100" s="6"/>
      <c r="Z100" s="6">
        <f ca="1">('TUSD BE'!$AM$33+'TUSD BF'!$AM$33+'TUSD CVA'!$AM$33)*(1-CUSTOS!$M$38)</f>
        <v>620.13355393673532</v>
      </c>
      <c r="AA100" s="6">
        <f>('TE BE'!$AB$23+'TE BF'!$AB$23+'TE CVA'!$AB$23)*(1-CUSTOS!$M$38)</f>
        <v>115.23119735093319</v>
      </c>
      <c r="AB100" s="6">
        <f t="shared" si="8"/>
        <v>0</v>
      </c>
      <c r="AC100" s="6">
        <f>(L100-M100)*(W100+X100)+($W$42+$X$42-$W$100-$X$100)*(L100)</f>
        <v>22010.842799999988</v>
      </c>
      <c r="AD100" s="6">
        <f t="shared" si="9"/>
        <v>0</v>
      </c>
      <c r="AE100" s="6">
        <f ca="1">(L100-M100)*(Z100+AA100)+($Z$42+$AA$42-$Z$100-$AA$100)*(L100)</f>
        <v>11810.114366265358</v>
      </c>
      <c r="AF100" s="4" t="s">
        <v>625</v>
      </c>
    </row>
    <row r="101" spans="1:32" ht="11.25" customHeight="1" x14ac:dyDescent="0.3">
      <c r="A101" s="4" t="s">
        <v>28</v>
      </c>
      <c r="B101" s="4" t="s">
        <v>42</v>
      </c>
      <c r="C101" s="4" t="s">
        <v>23</v>
      </c>
      <c r="D101" s="4" t="s">
        <v>43</v>
      </c>
      <c r="E101" s="4" t="s">
        <v>25</v>
      </c>
      <c r="F101" s="4" t="s">
        <v>25</v>
      </c>
      <c r="G101" s="4" t="s">
        <v>25</v>
      </c>
      <c r="H101" s="4" t="s">
        <v>25</v>
      </c>
      <c r="I101" s="5">
        <v>44531</v>
      </c>
      <c r="J101" s="6">
        <v>0</v>
      </c>
      <c r="K101" s="6">
        <v>0</v>
      </c>
      <c r="L101" s="6">
        <v>10.541</v>
      </c>
      <c r="M101" s="6">
        <v>10.541</v>
      </c>
      <c r="N101" s="6">
        <v>10.541</v>
      </c>
      <c r="O101" s="6">
        <v>10.541</v>
      </c>
      <c r="P101" s="6">
        <v>12</v>
      </c>
      <c r="Q101" s="4" t="s">
        <v>26</v>
      </c>
      <c r="R101" s="4">
        <v>0</v>
      </c>
      <c r="S101" s="4">
        <v>0</v>
      </c>
      <c r="T101" s="4">
        <v>49</v>
      </c>
      <c r="U101" s="4">
        <v>59</v>
      </c>
      <c r="V101" s="6">
        <f>IF(ISERROR(VLOOKUP($S$101,'TAR FIN'!$A$1:$O$85,15,0)),0,VLOOKUP($S$101,'TAR FIN'!$A$1:$O$85,15,0))</f>
        <v>0</v>
      </c>
      <c r="W101" s="6">
        <f>IF(ISERROR(VLOOKUP($T$101,'TAR FIN'!$A$1:$O$85,15,0)),0,VLOOKUP($T$101,'TAR FIN'!$A$1:$O$85,15,0))</f>
        <v>535.97</v>
      </c>
      <c r="X101" s="6">
        <f>IF(ISERROR(VLOOKUP($U$101,'TAR FIN'!$A$1:$O$85,15,0)),0,VLOOKUP($U$101,'TAR FIN'!$A$1:$O$85,15,0))</f>
        <v>105.58</v>
      </c>
      <c r="Y101" s="6"/>
      <c r="Z101" s="6">
        <f ca="1">('TUSD BE'!$AM$33+'TUSD BF'!$AM$33+'TUSD CVA'!$AM$33)*(1-CUSTOS!$M$38)</f>
        <v>620.13355393673532</v>
      </c>
      <c r="AA101" s="6">
        <f>('TE BE'!$AB$23+'TE BF'!$AB$23+'TE CVA'!$AB$23)*(1-CUSTOS!$M$38)</f>
        <v>115.23119735093319</v>
      </c>
      <c r="AB101" s="6">
        <f t="shared" si="8"/>
        <v>0</v>
      </c>
      <c r="AC101" s="6">
        <f>(L101-M101)*(W101+X101)+($W$42+$X$42-$W$101-$X$101)*(L101)</f>
        <v>922.12667999999951</v>
      </c>
      <c r="AD101" s="6">
        <f t="shared" si="9"/>
        <v>0</v>
      </c>
      <c r="AE101" s="6">
        <f ca="1">(L101-M101)*(Z101+AA101)+($Z$42+$AA$42-$Z$101-$AA$101)*(L101)</f>
        <v>494.77530914829754</v>
      </c>
      <c r="AF101" s="4" t="s">
        <v>625</v>
      </c>
    </row>
    <row r="102" spans="1:32" ht="11.25" customHeight="1" x14ac:dyDescent="0.3">
      <c r="A102" s="4" t="s">
        <v>21</v>
      </c>
      <c r="B102" s="4" t="s">
        <v>42</v>
      </c>
      <c r="C102" s="4" t="s">
        <v>23</v>
      </c>
      <c r="D102" s="4" t="s">
        <v>43</v>
      </c>
      <c r="E102" s="4" t="s">
        <v>25</v>
      </c>
      <c r="F102" s="4" t="s">
        <v>25</v>
      </c>
      <c r="G102" s="4" t="s">
        <v>25</v>
      </c>
      <c r="H102" s="4" t="s">
        <v>25</v>
      </c>
      <c r="I102" s="5">
        <v>44562</v>
      </c>
      <c r="J102" s="6">
        <v>0</v>
      </c>
      <c r="K102" s="6">
        <v>0</v>
      </c>
      <c r="L102" s="6">
        <v>293.61200000000002</v>
      </c>
      <c r="M102" s="6">
        <v>293.61200000000002</v>
      </c>
      <c r="N102" s="6">
        <v>293.61200000000002</v>
      </c>
      <c r="O102" s="6">
        <v>293.61200000000002</v>
      </c>
      <c r="P102" s="6">
        <v>708</v>
      </c>
      <c r="Q102" s="4" t="s">
        <v>26</v>
      </c>
      <c r="R102" s="4">
        <v>0</v>
      </c>
      <c r="S102" s="4">
        <v>0</v>
      </c>
      <c r="T102" s="4">
        <v>49</v>
      </c>
      <c r="U102" s="4">
        <v>59</v>
      </c>
      <c r="V102" s="6">
        <f>IF(ISERROR(VLOOKUP($S$102,'TAR FIN'!$A$1:$O$85,15,0)),0,VLOOKUP($S$102,'TAR FIN'!$A$1:$O$85,15,0))</f>
        <v>0</v>
      </c>
      <c r="W102" s="6">
        <f>IF(ISERROR(VLOOKUP($T$102,'TAR FIN'!$A$1:$O$85,15,0)),0,VLOOKUP($T$102,'TAR FIN'!$A$1:$O$85,15,0))</f>
        <v>535.97</v>
      </c>
      <c r="X102" s="6">
        <f>IF(ISERROR(VLOOKUP($U$102,'TAR FIN'!$A$1:$O$85,15,0)),0,VLOOKUP($U$102,'TAR FIN'!$A$1:$O$85,15,0))</f>
        <v>105.58</v>
      </c>
      <c r="Y102" s="6"/>
      <c r="Z102" s="6">
        <f ca="1">('TUSD BE'!$AM$33+'TUSD BF'!$AM$33+'TUSD CVA'!$AM$33)*(1-CUSTOS!$M$38)</f>
        <v>620.13355393673532</v>
      </c>
      <c r="AA102" s="6">
        <f>('TE BE'!$AB$23+'TE BF'!$AB$23+'TE CVA'!$AB$23)*(1-CUSTOS!$M$38)</f>
        <v>115.23119735093319</v>
      </c>
      <c r="AB102" s="6">
        <f t="shared" si="8"/>
        <v>0</v>
      </c>
      <c r="AC102" s="6">
        <f>(L102-M102)*(W102+X102)+($W$42+$X$42-$W$102-$X$102)*(L102)</f>
        <v>25685.177759999988</v>
      </c>
      <c r="AD102" s="6">
        <f t="shared" si="9"/>
        <v>0</v>
      </c>
      <c r="AE102" s="6">
        <f ca="1">(L102-M102)*(Z102+AA102)+($Z$42+$AA$42-$Z$102-$AA$102)*(L102)</f>
        <v>13781.611618409062</v>
      </c>
      <c r="AF102" s="4" t="s">
        <v>625</v>
      </c>
    </row>
    <row r="103" spans="1:32" ht="11.25" customHeight="1" x14ac:dyDescent="0.3">
      <c r="A103" s="4" t="s">
        <v>28</v>
      </c>
      <c r="B103" s="4" t="s">
        <v>42</v>
      </c>
      <c r="C103" s="4" t="s">
        <v>23</v>
      </c>
      <c r="D103" s="4" t="s">
        <v>43</v>
      </c>
      <c r="E103" s="4" t="s">
        <v>25</v>
      </c>
      <c r="F103" s="4" t="s">
        <v>25</v>
      </c>
      <c r="G103" s="4" t="s">
        <v>25</v>
      </c>
      <c r="H103" s="4" t="s">
        <v>25</v>
      </c>
      <c r="I103" s="5">
        <v>44562</v>
      </c>
      <c r="J103" s="6">
        <v>0</v>
      </c>
      <c r="K103" s="6">
        <v>0</v>
      </c>
      <c r="L103" s="6">
        <v>22.734999999999999</v>
      </c>
      <c r="M103" s="6">
        <v>22.734999999999999</v>
      </c>
      <c r="N103" s="6">
        <v>22.734999999999999</v>
      </c>
      <c r="O103" s="6">
        <v>22.734999999999999</v>
      </c>
      <c r="P103" s="6">
        <v>13</v>
      </c>
      <c r="Q103" s="4" t="s">
        <v>26</v>
      </c>
      <c r="R103" s="4">
        <v>0</v>
      </c>
      <c r="S103" s="4">
        <v>0</v>
      </c>
      <c r="T103" s="4">
        <v>49</v>
      </c>
      <c r="U103" s="4">
        <v>59</v>
      </c>
      <c r="V103" s="6">
        <f>IF(ISERROR(VLOOKUP($S$103,'TAR FIN'!$A$1:$O$85,15,0)),0,VLOOKUP($S$103,'TAR FIN'!$A$1:$O$85,15,0))</f>
        <v>0</v>
      </c>
      <c r="W103" s="6">
        <f>IF(ISERROR(VLOOKUP($T$103,'TAR FIN'!$A$1:$O$85,15,0)),0,VLOOKUP($T$103,'TAR FIN'!$A$1:$O$85,15,0))</f>
        <v>535.97</v>
      </c>
      <c r="X103" s="6">
        <f>IF(ISERROR(VLOOKUP($U$103,'TAR FIN'!$A$1:$O$85,15,0)),0,VLOOKUP($U$103,'TAR FIN'!$A$1:$O$85,15,0))</f>
        <v>105.58</v>
      </c>
      <c r="Y103" s="6"/>
      <c r="Z103" s="6">
        <f ca="1">('TUSD BE'!$AM$33+'TUSD BF'!$AM$33+'TUSD CVA'!$AM$33)*(1-CUSTOS!$M$38)</f>
        <v>620.13355393673532</v>
      </c>
      <c r="AA103" s="6">
        <f>('TE BE'!$AB$23+'TE BF'!$AB$23+'TE CVA'!$AB$23)*(1-CUSTOS!$M$38)</f>
        <v>115.23119735093319</v>
      </c>
      <c r="AB103" s="6">
        <f t="shared" si="8"/>
        <v>0</v>
      </c>
      <c r="AC103" s="6">
        <f>(L103-M103)*(W103+X103)+($W$42+$X$42-$W$103-$X$103)*(L103)</f>
        <v>1988.8577999999989</v>
      </c>
      <c r="AD103" s="6">
        <f t="shared" si="9"/>
        <v>0</v>
      </c>
      <c r="AE103" s="6">
        <f ca="1">(L103-M103)*(Z103+AA103)+($Z$42+$AA$42-$Z$103-$AA$103)*(L103)</f>
        <v>1067.1394225867132</v>
      </c>
      <c r="AF103" s="4" t="s">
        <v>625</v>
      </c>
    </row>
    <row r="104" spans="1:32" ht="11.25" customHeight="1" x14ac:dyDescent="0.3">
      <c r="A104" s="4" t="s">
        <v>21</v>
      </c>
      <c r="B104" s="4" t="s">
        <v>42</v>
      </c>
      <c r="C104" s="4" t="s">
        <v>23</v>
      </c>
      <c r="D104" s="4" t="s">
        <v>43</v>
      </c>
      <c r="E104" s="4" t="s">
        <v>25</v>
      </c>
      <c r="F104" s="4" t="s">
        <v>25</v>
      </c>
      <c r="G104" s="4" t="s">
        <v>25</v>
      </c>
      <c r="H104" s="4" t="s">
        <v>25</v>
      </c>
      <c r="I104" s="5">
        <v>44593</v>
      </c>
      <c r="J104" s="6">
        <v>0</v>
      </c>
      <c r="K104" s="6">
        <v>0</v>
      </c>
      <c r="L104" s="6">
        <v>325.15499999999997</v>
      </c>
      <c r="M104" s="6">
        <v>325.15499999999997</v>
      </c>
      <c r="N104" s="6">
        <v>325.15499999999997</v>
      </c>
      <c r="O104" s="6">
        <v>325.15499999999997</v>
      </c>
      <c r="P104" s="6">
        <v>707</v>
      </c>
      <c r="Q104" s="4" t="s">
        <v>26</v>
      </c>
      <c r="R104" s="4">
        <v>0</v>
      </c>
      <c r="S104" s="4">
        <v>0</v>
      </c>
      <c r="T104" s="4">
        <v>49</v>
      </c>
      <c r="U104" s="4">
        <v>59</v>
      </c>
      <c r="V104" s="6">
        <f>IF(ISERROR(VLOOKUP($S$104,'TAR FIN'!$A$1:$O$85,15,0)),0,VLOOKUP($S$104,'TAR FIN'!$A$1:$O$85,15,0))</f>
        <v>0</v>
      </c>
      <c r="W104" s="6">
        <f>IF(ISERROR(VLOOKUP($T$104,'TAR FIN'!$A$1:$O$85,15,0)),0,VLOOKUP($T$104,'TAR FIN'!$A$1:$O$85,15,0))</f>
        <v>535.97</v>
      </c>
      <c r="X104" s="6">
        <f>IF(ISERROR(VLOOKUP($U$104,'TAR FIN'!$A$1:$O$85,15,0)),0,VLOOKUP($U$104,'TAR FIN'!$A$1:$O$85,15,0))</f>
        <v>105.58</v>
      </c>
      <c r="Y104" s="6"/>
      <c r="Z104" s="6">
        <f ca="1">('TUSD BE'!$AM$33+'TUSD BF'!$AM$33+'TUSD CVA'!$AM$33)*(1-CUSTOS!$M$38)</f>
        <v>620.13355393673532</v>
      </c>
      <c r="AA104" s="6">
        <f>('TE BE'!$AB$23+'TE BF'!$AB$23+'TE CVA'!$AB$23)*(1-CUSTOS!$M$38)</f>
        <v>115.23119735093319</v>
      </c>
      <c r="AB104" s="6">
        <f t="shared" si="8"/>
        <v>0</v>
      </c>
      <c r="AC104" s="6">
        <f>(L104-M104)*(W104+X104)+($W$42+$X$42-$W$104-$X$104)*(L104)</f>
        <v>28444.55939999998</v>
      </c>
      <c r="AD104" s="6">
        <f t="shared" si="9"/>
        <v>0</v>
      </c>
      <c r="AE104" s="6">
        <f ca="1">(L104-M104)*(Z104+AA104)+($Z$42+$AA$42-$Z$104-$AA$104)*(L104)</f>
        <v>15262.182491804824</v>
      </c>
      <c r="AF104" s="4" t="s">
        <v>625</v>
      </c>
    </row>
    <row r="105" spans="1:32" ht="11.25" customHeight="1" x14ac:dyDescent="0.3">
      <c r="A105" s="4" t="s">
        <v>27</v>
      </c>
      <c r="B105" s="4" t="s">
        <v>42</v>
      </c>
      <c r="C105" s="4" t="s">
        <v>23</v>
      </c>
      <c r="D105" s="4" t="s">
        <v>43</v>
      </c>
      <c r="E105" s="4" t="s">
        <v>25</v>
      </c>
      <c r="F105" s="4" t="s">
        <v>25</v>
      </c>
      <c r="G105" s="4" t="s">
        <v>25</v>
      </c>
      <c r="H105" s="4" t="s">
        <v>25</v>
      </c>
      <c r="I105" s="5">
        <v>44593</v>
      </c>
      <c r="J105" s="6">
        <v>0</v>
      </c>
      <c r="K105" s="6">
        <v>0</v>
      </c>
      <c r="L105" s="6">
        <v>-0.47399999999999998</v>
      </c>
      <c r="M105" s="6">
        <v>-0.47399999999999998</v>
      </c>
      <c r="N105" s="6">
        <v>-0.47399999999999998</v>
      </c>
      <c r="O105" s="6">
        <v>-0.47399999999999998</v>
      </c>
      <c r="P105" s="6">
        <v>0</v>
      </c>
      <c r="Q105" s="4" t="s">
        <v>26</v>
      </c>
      <c r="R105" s="4">
        <v>0</v>
      </c>
      <c r="S105" s="4">
        <v>0</v>
      </c>
      <c r="T105" s="4">
        <v>49</v>
      </c>
      <c r="U105" s="4">
        <v>59</v>
      </c>
      <c r="V105" s="6">
        <f>IF(ISERROR(VLOOKUP($S$105,'TAR FIN'!$A$1:$O$85,15,0)),0,VLOOKUP($S$105,'TAR FIN'!$A$1:$O$85,15,0))</f>
        <v>0</v>
      </c>
      <c r="W105" s="6">
        <f>IF(ISERROR(VLOOKUP($T$105,'TAR FIN'!$A$1:$O$85,15,0)),0,VLOOKUP($T$105,'TAR FIN'!$A$1:$O$85,15,0))</f>
        <v>535.97</v>
      </c>
      <c r="X105" s="6">
        <f>IF(ISERROR(VLOOKUP($U$105,'TAR FIN'!$A$1:$O$85,15,0)),0,VLOOKUP($U$105,'TAR FIN'!$A$1:$O$85,15,0))</f>
        <v>105.58</v>
      </c>
      <c r="Y105" s="6"/>
      <c r="Z105" s="6">
        <f ca="1">('TUSD BE'!$AM$33+'TUSD BF'!$AM$33+'TUSD CVA'!$AM$33)*(1-CUSTOS!$M$38)</f>
        <v>620.13355393673532</v>
      </c>
      <c r="AA105" s="6">
        <f>('TE BE'!$AB$23+'TE BF'!$AB$23+'TE CVA'!$AB$23)*(1-CUSTOS!$M$38)</f>
        <v>115.23119735093319</v>
      </c>
      <c r="AB105" s="6">
        <f t="shared" si="8"/>
        <v>0</v>
      </c>
      <c r="AC105" s="6">
        <f>(L105-M105)*(W105+X105)+($W$42+$X$42-$W$105-$X$105)*(L105)</f>
        <v>-41.46551999999997</v>
      </c>
      <c r="AD105" s="6">
        <f t="shared" si="9"/>
        <v>0</v>
      </c>
      <c r="AE105" s="6">
        <f ca="1">(L105-M105)*(Z105+AA105)+($Z$42+$AA$42-$Z$105-$AA$105)*(L105)</f>
        <v>-22.248695241086519</v>
      </c>
      <c r="AF105" s="4" t="s">
        <v>625</v>
      </c>
    </row>
    <row r="106" spans="1:32" ht="11.25" customHeight="1" x14ac:dyDescent="0.3">
      <c r="A106" s="4" t="s">
        <v>28</v>
      </c>
      <c r="B106" s="4" t="s">
        <v>42</v>
      </c>
      <c r="C106" s="4" t="s">
        <v>23</v>
      </c>
      <c r="D106" s="4" t="s">
        <v>43</v>
      </c>
      <c r="E106" s="4" t="s">
        <v>25</v>
      </c>
      <c r="F106" s="4" t="s">
        <v>25</v>
      </c>
      <c r="G106" s="4" t="s">
        <v>25</v>
      </c>
      <c r="H106" s="4" t="s">
        <v>25</v>
      </c>
      <c r="I106" s="5">
        <v>44593</v>
      </c>
      <c r="J106" s="6">
        <v>0</v>
      </c>
      <c r="K106" s="6">
        <v>0</v>
      </c>
      <c r="L106" s="6">
        <v>18.158999999999999</v>
      </c>
      <c r="M106" s="6">
        <v>18.158999999999999</v>
      </c>
      <c r="N106" s="6">
        <v>18.158999999999999</v>
      </c>
      <c r="O106" s="6">
        <v>18.158999999999999</v>
      </c>
      <c r="P106" s="6">
        <v>13</v>
      </c>
      <c r="Q106" s="4" t="s">
        <v>26</v>
      </c>
      <c r="R106" s="4">
        <v>0</v>
      </c>
      <c r="S106" s="4">
        <v>0</v>
      </c>
      <c r="T106" s="4">
        <v>49</v>
      </c>
      <c r="U106" s="4">
        <v>59</v>
      </c>
      <c r="V106" s="6">
        <f>IF(ISERROR(VLOOKUP($S$106,'TAR FIN'!$A$1:$O$85,15,0)),0,VLOOKUP($S$106,'TAR FIN'!$A$1:$O$85,15,0))</f>
        <v>0</v>
      </c>
      <c r="W106" s="6">
        <f>IF(ISERROR(VLOOKUP($T$106,'TAR FIN'!$A$1:$O$85,15,0)),0,VLOOKUP($T$106,'TAR FIN'!$A$1:$O$85,15,0))</f>
        <v>535.97</v>
      </c>
      <c r="X106" s="6">
        <f>IF(ISERROR(VLOOKUP($U$106,'TAR FIN'!$A$1:$O$85,15,0)),0,VLOOKUP($U$106,'TAR FIN'!$A$1:$O$85,15,0))</f>
        <v>105.58</v>
      </c>
      <c r="Y106" s="6"/>
      <c r="Z106" s="6">
        <f ca="1">('TUSD BE'!$AM$33+'TUSD BF'!$AM$33+'TUSD CVA'!$AM$33)*(1-CUSTOS!$M$38)</f>
        <v>620.13355393673532</v>
      </c>
      <c r="AA106" s="6">
        <f>('TE BE'!$AB$23+'TE BF'!$AB$23+'TE CVA'!$AB$23)*(1-CUSTOS!$M$38)</f>
        <v>115.23119735093319</v>
      </c>
      <c r="AB106" s="6">
        <f t="shared" si="8"/>
        <v>0</v>
      </c>
      <c r="AC106" s="6">
        <f>(L106-M106)*(W106+X106)+($W$42+$X$42-$W$106-$X$106)*(L106)</f>
        <v>1588.5493199999989</v>
      </c>
      <c r="AD106" s="6">
        <f t="shared" si="9"/>
        <v>0</v>
      </c>
      <c r="AE106" s="6">
        <f ca="1">(L106-M106)*(Z106+AA106)+($Z$42+$AA$42-$Z$106-$AA$106)*(L106)</f>
        <v>852.35033097656139</v>
      </c>
      <c r="AF106" s="4" t="s">
        <v>625</v>
      </c>
    </row>
    <row r="107" spans="1:32" ht="11.25" customHeight="1" x14ac:dyDescent="0.3">
      <c r="A107" s="4" t="s">
        <v>21</v>
      </c>
      <c r="B107" s="4" t="s">
        <v>42</v>
      </c>
      <c r="C107" s="4" t="s">
        <v>23</v>
      </c>
      <c r="D107" s="4" t="s">
        <v>43</v>
      </c>
      <c r="E107" s="4" t="s">
        <v>25</v>
      </c>
      <c r="F107" s="4" t="s">
        <v>25</v>
      </c>
      <c r="G107" s="4" t="s">
        <v>25</v>
      </c>
      <c r="H107" s="4" t="s">
        <v>25</v>
      </c>
      <c r="I107" s="5">
        <v>44621</v>
      </c>
      <c r="J107" s="6">
        <v>0</v>
      </c>
      <c r="K107" s="6">
        <v>0</v>
      </c>
      <c r="L107" s="6">
        <v>280.87599999999998</v>
      </c>
      <c r="M107" s="6">
        <v>280.87599999999998</v>
      </c>
      <c r="N107" s="6">
        <v>280.87599999999998</v>
      </c>
      <c r="O107" s="6">
        <v>280.87599999999998</v>
      </c>
      <c r="P107" s="6">
        <v>704</v>
      </c>
      <c r="Q107" s="4" t="s">
        <v>26</v>
      </c>
      <c r="R107" s="4">
        <v>0</v>
      </c>
      <c r="S107" s="4">
        <v>0</v>
      </c>
      <c r="T107" s="4">
        <v>49</v>
      </c>
      <c r="U107" s="4">
        <v>59</v>
      </c>
      <c r="V107" s="6">
        <f>IF(ISERROR(VLOOKUP($S$107,'TAR FIN'!$A$1:$O$85,15,0)),0,VLOOKUP($S$107,'TAR FIN'!$A$1:$O$85,15,0))</f>
        <v>0</v>
      </c>
      <c r="W107" s="6">
        <f>IF(ISERROR(VLOOKUP($T$107,'TAR FIN'!$A$1:$O$85,15,0)),0,VLOOKUP($T$107,'TAR FIN'!$A$1:$O$85,15,0))</f>
        <v>535.97</v>
      </c>
      <c r="X107" s="6">
        <f>IF(ISERROR(VLOOKUP($U$107,'TAR FIN'!$A$1:$O$85,15,0)),0,VLOOKUP($U$107,'TAR FIN'!$A$1:$O$85,15,0))</f>
        <v>105.58</v>
      </c>
      <c r="Y107" s="6"/>
      <c r="Z107" s="6">
        <f ca="1">('TUSD BE'!$AM$33+'TUSD BF'!$AM$33+'TUSD CVA'!$AM$33)*(1-CUSTOS!$M$38)</f>
        <v>620.13355393673532</v>
      </c>
      <c r="AA107" s="6">
        <f>('TE BE'!$AB$23+'TE BF'!$AB$23+'TE CVA'!$AB$23)*(1-CUSTOS!$M$38)</f>
        <v>115.23119735093319</v>
      </c>
      <c r="AB107" s="6">
        <f t="shared" si="8"/>
        <v>0</v>
      </c>
      <c r="AC107" s="6">
        <f>(L107-M107)*(W107+X107)+($W$42+$X$42-$W$107-$X$107)*(L107)</f>
        <v>24571.032479999983</v>
      </c>
      <c r="AD107" s="6">
        <f t="shared" si="9"/>
        <v>0</v>
      </c>
      <c r="AE107" s="6">
        <f ca="1">(L107-M107)*(Z107+AA107)+($Z$42+$AA$42-$Z$107-$AA$107)*(L107)</f>
        <v>13183.8070137878</v>
      </c>
      <c r="AF107" s="4" t="s">
        <v>625</v>
      </c>
    </row>
    <row r="108" spans="1:32" ht="11.25" customHeight="1" x14ac:dyDescent="0.3">
      <c r="A108" s="4" t="s">
        <v>27</v>
      </c>
      <c r="B108" s="4" t="s">
        <v>42</v>
      </c>
      <c r="C108" s="4" t="s">
        <v>23</v>
      </c>
      <c r="D108" s="4" t="s">
        <v>43</v>
      </c>
      <c r="E108" s="4" t="s">
        <v>25</v>
      </c>
      <c r="F108" s="4" t="s">
        <v>25</v>
      </c>
      <c r="G108" s="4" t="s">
        <v>25</v>
      </c>
      <c r="H108" s="4" t="s">
        <v>25</v>
      </c>
      <c r="I108" s="5">
        <v>44621</v>
      </c>
      <c r="J108" s="6">
        <v>0</v>
      </c>
      <c r="K108" s="6">
        <v>0</v>
      </c>
      <c r="L108" s="6">
        <v>-2.2639999999999998</v>
      </c>
      <c r="M108" s="6">
        <v>-2.2639999999999998</v>
      </c>
      <c r="N108" s="6">
        <v>-2.2639999999999998</v>
      </c>
      <c r="O108" s="6">
        <v>-2.2639999999999998</v>
      </c>
      <c r="P108" s="6">
        <v>0</v>
      </c>
      <c r="Q108" s="4" t="s">
        <v>26</v>
      </c>
      <c r="R108" s="4">
        <v>0</v>
      </c>
      <c r="S108" s="4">
        <v>0</v>
      </c>
      <c r="T108" s="4">
        <v>49</v>
      </c>
      <c r="U108" s="4">
        <v>59</v>
      </c>
      <c r="V108" s="6">
        <f>IF(ISERROR(VLOOKUP($S$108,'TAR FIN'!$A$1:$O$85,15,0)),0,VLOOKUP($S$108,'TAR FIN'!$A$1:$O$85,15,0))</f>
        <v>0</v>
      </c>
      <c r="W108" s="6">
        <f>IF(ISERROR(VLOOKUP($T$108,'TAR FIN'!$A$1:$O$85,15,0)),0,VLOOKUP($T$108,'TAR FIN'!$A$1:$O$85,15,0))</f>
        <v>535.97</v>
      </c>
      <c r="X108" s="6">
        <f>IF(ISERROR(VLOOKUP($U$108,'TAR FIN'!$A$1:$O$85,15,0)),0,VLOOKUP($U$108,'TAR FIN'!$A$1:$O$85,15,0))</f>
        <v>105.58</v>
      </c>
      <c r="Y108" s="6"/>
      <c r="Z108" s="6">
        <f ca="1">('TUSD BE'!$AM$33+'TUSD BF'!$AM$33+'TUSD CVA'!$AM$33)*(1-CUSTOS!$M$38)</f>
        <v>620.13355393673532</v>
      </c>
      <c r="AA108" s="6">
        <f>('TE BE'!$AB$23+'TE BF'!$AB$23+'TE CVA'!$AB$23)*(1-CUSTOS!$M$38)</f>
        <v>115.23119735093319</v>
      </c>
      <c r="AB108" s="6">
        <f t="shared" si="8"/>
        <v>0</v>
      </c>
      <c r="AC108" s="6">
        <f>(L108-M108)*(W108+X108)+($W$42+$X$42-$W$108-$X$108)*(L108)</f>
        <v>-198.05471999999986</v>
      </c>
      <c r="AD108" s="6">
        <f t="shared" si="9"/>
        <v>0</v>
      </c>
      <c r="AE108" s="6">
        <f ca="1">(L108-M108)*(Z108+AA108)+($Z$42+$AA$42-$Z$108-$AA$108)*(L108)</f>
        <v>-106.26802959033729</v>
      </c>
      <c r="AF108" s="4" t="s">
        <v>625</v>
      </c>
    </row>
    <row r="109" spans="1:32" ht="11.25" customHeight="1" x14ac:dyDescent="0.3">
      <c r="A109" s="4" t="s">
        <v>28</v>
      </c>
      <c r="B109" s="4" t="s">
        <v>42</v>
      </c>
      <c r="C109" s="4" t="s">
        <v>23</v>
      </c>
      <c r="D109" s="4" t="s">
        <v>43</v>
      </c>
      <c r="E109" s="4" t="s">
        <v>25</v>
      </c>
      <c r="F109" s="4" t="s">
        <v>25</v>
      </c>
      <c r="G109" s="4" t="s">
        <v>25</v>
      </c>
      <c r="H109" s="4" t="s">
        <v>25</v>
      </c>
      <c r="I109" s="5">
        <v>44621</v>
      </c>
      <c r="J109" s="6">
        <v>0</v>
      </c>
      <c r="K109" s="6">
        <v>0</v>
      </c>
      <c r="L109" s="6">
        <v>28.015000000000001</v>
      </c>
      <c r="M109" s="6">
        <v>28.015000000000001</v>
      </c>
      <c r="N109" s="6">
        <v>28.015000000000001</v>
      </c>
      <c r="O109" s="6">
        <v>28.015000000000001</v>
      </c>
      <c r="P109" s="6">
        <v>13</v>
      </c>
      <c r="Q109" s="4" t="s">
        <v>26</v>
      </c>
      <c r="R109" s="4">
        <v>0</v>
      </c>
      <c r="S109" s="4">
        <v>0</v>
      </c>
      <c r="T109" s="4">
        <v>49</v>
      </c>
      <c r="U109" s="4">
        <v>59</v>
      </c>
      <c r="V109" s="6">
        <f>IF(ISERROR(VLOOKUP($S$109,'TAR FIN'!$A$1:$O$85,15,0)),0,VLOOKUP($S$109,'TAR FIN'!$A$1:$O$85,15,0))</f>
        <v>0</v>
      </c>
      <c r="W109" s="6">
        <f>IF(ISERROR(VLOOKUP($T$109,'TAR FIN'!$A$1:$O$85,15,0)),0,VLOOKUP($T$109,'TAR FIN'!$A$1:$O$85,15,0))</f>
        <v>535.97</v>
      </c>
      <c r="X109" s="6">
        <f>IF(ISERROR(VLOOKUP($U$109,'TAR FIN'!$A$1:$O$85,15,0)),0,VLOOKUP($U$109,'TAR FIN'!$A$1:$O$85,15,0))</f>
        <v>105.58</v>
      </c>
      <c r="Y109" s="6"/>
      <c r="Z109" s="6">
        <f ca="1">('TUSD BE'!$AM$33+'TUSD BF'!$AM$33+'TUSD CVA'!$AM$33)*(1-CUSTOS!$M$38)</f>
        <v>620.13355393673532</v>
      </c>
      <c r="AA109" s="6">
        <f>('TE BE'!$AB$23+'TE BF'!$AB$23+'TE CVA'!$AB$23)*(1-CUSTOS!$M$38)</f>
        <v>115.23119735093319</v>
      </c>
      <c r="AB109" s="6">
        <f t="shared" si="8"/>
        <v>0</v>
      </c>
      <c r="AC109" s="6">
        <f>(L109-M109)*(W109+X109)+($W$42+$X$42-$W$109-$X$109)*(L109)</f>
        <v>2450.7521999999985</v>
      </c>
      <c r="AD109" s="6">
        <f t="shared" si="9"/>
        <v>0</v>
      </c>
      <c r="AE109" s="6">
        <f ca="1">(L109-M109)*(Z109+AA109)+($Z$42+$AA$42-$Z$109-$AA$109)*(L109)</f>
        <v>1314.972989829196</v>
      </c>
      <c r="AF109" s="4" t="s">
        <v>625</v>
      </c>
    </row>
    <row r="110" spans="1:32" ht="11.25" customHeight="1" x14ac:dyDescent="0.3">
      <c r="A110" s="4" t="s">
        <v>21</v>
      </c>
      <c r="B110" s="4" t="s">
        <v>42</v>
      </c>
      <c r="C110" s="4" t="s">
        <v>23</v>
      </c>
      <c r="D110" s="4" t="s">
        <v>43</v>
      </c>
      <c r="E110" s="4" t="s">
        <v>25</v>
      </c>
      <c r="F110" s="4" t="s">
        <v>25</v>
      </c>
      <c r="G110" s="4" t="s">
        <v>25</v>
      </c>
      <c r="H110" s="4" t="s">
        <v>25</v>
      </c>
      <c r="I110" s="5">
        <v>44652</v>
      </c>
      <c r="J110" s="6">
        <v>0</v>
      </c>
      <c r="K110" s="6">
        <v>0</v>
      </c>
      <c r="L110" s="6">
        <v>243.8</v>
      </c>
      <c r="M110" s="6">
        <v>243.8</v>
      </c>
      <c r="N110" s="6">
        <v>243.8</v>
      </c>
      <c r="O110" s="6">
        <v>243.8</v>
      </c>
      <c r="P110" s="6">
        <v>705</v>
      </c>
      <c r="Q110" s="4" t="s">
        <v>26</v>
      </c>
      <c r="R110" s="4">
        <v>0</v>
      </c>
      <c r="S110" s="4">
        <v>0</v>
      </c>
      <c r="T110" s="4">
        <v>49</v>
      </c>
      <c r="U110" s="4">
        <v>59</v>
      </c>
      <c r="V110" s="6">
        <f>IF(ISERROR(VLOOKUP($S$110,'TAR FIN'!$A$1:$O$85,15,0)),0,VLOOKUP($S$110,'TAR FIN'!$A$1:$O$85,15,0))</f>
        <v>0</v>
      </c>
      <c r="W110" s="6">
        <f>IF(ISERROR(VLOOKUP($T$110,'TAR FIN'!$A$1:$O$85,15,0)),0,VLOOKUP($T$110,'TAR FIN'!$A$1:$O$85,15,0))</f>
        <v>535.97</v>
      </c>
      <c r="X110" s="6">
        <f>IF(ISERROR(VLOOKUP($U$110,'TAR FIN'!$A$1:$O$85,15,0)),0,VLOOKUP($U$110,'TAR FIN'!$A$1:$O$85,15,0))</f>
        <v>105.58</v>
      </c>
      <c r="Y110" s="6"/>
      <c r="Z110" s="6">
        <f ca="1">('TUSD BE'!$AM$33+'TUSD BF'!$AM$33+'TUSD CVA'!$AM$33)*(1-CUSTOS!$M$38)</f>
        <v>620.13355393673532</v>
      </c>
      <c r="AA110" s="6">
        <f>('TE BE'!$AB$23+'TE BF'!$AB$23+'TE CVA'!$AB$23)*(1-CUSTOS!$M$38)</f>
        <v>115.23119735093319</v>
      </c>
      <c r="AB110" s="6">
        <f t="shared" si="8"/>
        <v>0</v>
      </c>
      <c r="AC110" s="6">
        <f>(L110-M110)*(W110+X110)+($W$42+$X$42-$W$110-$X$110)*(L110)</f>
        <v>21327.623999999989</v>
      </c>
      <c r="AD110" s="6">
        <f t="shared" si="9"/>
        <v>0</v>
      </c>
      <c r="AE110" s="6">
        <f ca="1">(L110-M110)*(Z110+AA110)+($Z$42+$AA$42-$Z$110-$AA$110)*(L110)</f>
        <v>11443.527214719186</v>
      </c>
      <c r="AF110" s="4" t="s">
        <v>625</v>
      </c>
    </row>
    <row r="111" spans="1:32" ht="11.25" customHeight="1" x14ac:dyDescent="0.3">
      <c r="A111" s="4" t="s">
        <v>28</v>
      </c>
      <c r="B111" s="4" t="s">
        <v>42</v>
      </c>
      <c r="C111" s="4" t="s">
        <v>23</v>
      </c>
      <c r="D111" s="4" t="s">
        <v>43</v>
      </c>
      <c r="E111" s="4" t="s">
        <v>25</v>
      </c>
      <c r="F111" s="4" t="s">
        <v>25</v>
      </c>
      <c r="G111" s="4" t="s">
        <v>25</v>
      </c>
      <c r="H111" s="4" t="s">
        <v>25</v>
      </c>
      <c r="I111" s="5">
        <v>44652</v>
      </c>
      <c r="J111" s="6">
        <v>0</v>
      </c>
      <c r="K111" s="6">
        <v>0</v>
      </c>
      <c r="L111" s="6">
        <v>17.763999999999999</v>
      </c>
      <c r="M111" s="6">
        <v>17.763999999999999</v>
      </c>
      <c r="N111" s="6">
        <v>17.763999999999999</v>
      </c>
      <c r="O111" s="6">
        <v>17.763999999999999</v>
      </c>
      <c r="P111" s="6">
        <v>13</v>
      </c>
      <c r="Q111" s="4" t="s">
        <v>26</v>
      </c>
      <c r="R111" s="4">
        <v>0</v>
      </c>
      <c r="S111" s="4">
        <v>0</v>
      </c>
      <c r="T111" s="4">
        <v>49</v>
      </c>
      <c r="U111" s="4">
        <v>59</v>
      </c>
      <c r="V111" s="6">
        <f>IF(ISERROR(VLOOKUP($S$111,'TAR FIN'!$A$1:$O$85,15,0)),0,VLOOKUP($S$111,'TAR FIN'!$A$1:$O$85,15,0))</f>
        <v>0</v>
      </c>
      <c r="W111" s="6">
        <f>IF(ISERROR(VLOOKUP($T$111,'TAR FIN'!$A$1:$O$85,15,0)),0,VLOOKUP($T$111,'TAR FIN'!$A$1:$O$85,15,0))</f>
        <v>535.97</v>
      </c>
      <c r="X111" s="6">
        <f>IF(ISERROR(VLOOKUP($U$111,'TAR FIN'!$A$1:$O$85,15,0)),0,VLOOKUP($U$111,'TAR FIN'!$A$1:$O$85,15,0))</f>
        <v>105.58</v>
      </c>
      <c r="Y111" s="6"/>
      <c r="Z111" s="6">
        <f ca="1">('TUSD BE'!$AM$33+'TUSD BF'!$AM$33+'TUSD CVA'!$AM$33)*(1-CUSTOS!$M$38)</f>
        <v>620.13355393673532</v>
      </c>
      <c r="AA111" s="6">
        <f>('TE BE'!$AB$23+'TE BF'!$AB$23+'TE CVA'!$AB$23)*(1-CUSTOS!$M$38)</f>
        <v>115.23119735093319</v>
      </c>
      <c r="AB111" s="6">
        <f t="shared" si="8"/>
        <v>0</v>
      </c>
      <c r="AC111" s="6">
        <f>(L111-M111)*(W111+X111)+($W$42+$X$42-$W$111-$X$111)*(L111)</f>
        <v>1553.994719999999</v>
      </c>
      <c r="AD111" s="6">
        <f t="shared" si="9"/>
        <v>0</v>
      </c>
      <c r="AE111" s="6">
        <f ca="1">(L111-M111)*(Z111+AA111)+($Z$42+$AA$42-$Z$111-$AA$111)*(L111)</f>
        <v>833.80975160898936</v>
      </c>
      <c r="AF111" s="4" t="s">
        <v>625</v>
      </c>
    </row>
    <row r="112" spans="1:32" ht="11.25" customHeight="1" x14ac:dyDescent="0.3">
      <c r="A112" s="4" t="s">
        <v>28</v>
      </c>
      <c r="B112" s="4" t="s">
        <v>42</v>
      </c>
      <c r="C112" s="4" t="s">
        <v>23</v>
      </c>
      <c r="D112" s="4" t="s">
        <v>43</v>
      </c>
      <c r="E112" s="4" t="s">
        <v>25</v>
      </c>
      <c r="F112" s="4" t="s">
        <v>25</v>
      </c>
      <c r="G112" s="4" t="s">
        <v>25</v>
      </c>
      <c r="H112" s="4" t="s">
        <v>25</v>
      </c>
      <c r="I112" s="5">
        <v>44652</v>
      </c>
      <c r="J112" s="6">
        <v>0</v>
      </c>
      <c r="K112" s="6">
        <v>0</v>
      </c>
      <c r="L112" s="6">
        <v>-1.169</v>
      </c>
      <c r="M112" s="6">
        <v>-1.169</v>
      </c>
      <c r="N112" s="6">
        <v>-1.169</v>
      </c>
      <c r="O112" s="6">
        <v>-1.169</v>
      </c>
      <c r="P112" s="6">
        <v>2</v>
      </c>
      <c r="Q112" s="4" t="s">
        <v>26</v>
      </c>
      <c r="R112" s="4">
        <v>0</v>
      </c>
      <c r="S112" s="4">
        <v>0</v>
      </c>
      <c r="T112" s="4">
        <v>49</v>
      </c>
      <c r="U112" s="4">
        <v>59</v>
      </c>
      <c r="V112" s="6">
        <f>IF(ISERROR(VLOOKUP($S$112,'TAR FIN'!$A$1:$O$85,15,0)),0,VLOOKUP($S$112,'TAR FIN'!$A$1:$O$85,15,0))</f>
        <v>0</v>
      </c>
      <c r="W112" s="6">
        <f>IF(ISERROR(VLOOKUP($T$112,'TAR FIN'!$A$1:$O$85,15,0)),0,VLOOKUP($T$112,'TAR FIN'!$A$1:$O$85,15,0))</f>
        <v>535.97</v>
      </c>
      <c r="X112" s="6">
        <f>IF(ISERROR(VLOOKUP($U$112,'TAR FIN'!$A$1:$O$85,15,0)),0,VLOOKUP($U$112,'TAR FIN'!$A$1:$O$85,15,0))</f>
        <v>105.58</v>
      </c>
      <c r="Y112" s="6"/>
      <c r="Z112" s="6">
        <f ca="1">('TUSD BE'!$AM$33+'TUSD BF'!$AM$33+'TUSD CVA'!$AM$33)*(1-CUSTOS!$M$38)</f>
        <v>620.13355393673532</v>
      </c>
      <c r="AA112" s="6">
        <f>('TE BE'!$AB$23+'TE BF'!$AB$23+'TE CVA'!$AB$23)*(1-CUSTOS!$M$38)</f>
        <v>115.23119735093319</v>
      </c>
      <c r="AB112" s="6">
        <f t="shared" si="8"/>
        <v>0</v>
      </c>
      <c r="AC112" s="6">
        <f>(L112-M112)*(W112+X112)+($W$42+$X$42-$W$112-$X$112)*(L112)</f>
        <v>-102.26411999999995</v>
      </c>
      <c r="AD112" s="6">
        <f t="shared" si="9"/>
        <v>0</v>
      </c>
      <c r="AE112" s="6">
        <f ca="1">(L112-M112)*(Z112+AA112)+($Z$42+$AA$42-$Z$112-$AA$112)*(L112)</f>
        <v>-54.870727292890599</v>
      </c>
      <c r="AF112" s="4" t="s">
        <v>625</v>
      </c>
    </row>
    <row r="113" spans="1:32" ht="11.25" customHeight="1" x14ac:dyDescent="0.3">
      <c r="A113" s="4" t="s">
        <v>21</v>
      </c>
      <c r="B113" s="4" t="s">
        <v>42</v>
      </c>
      <c r="C113" s="4" t="s">
        <v>23</v>
      </c>
      <c r="D113" s="4" t="s">
        <v>43</v>
      </c>
      <c r="E113" s="4" t="s">
        <v>25</v>
      </c>
      <c r="F113" s="4" t="s">
        <v>25</v>
      </c>
      <c r="G113" s="4" t="s">
        <v>25</v>
      </c>
      <c r="H113" s="4" t="s">
        <v>25</v>
      </c>
      <c r="I113" s="5">
        <v>44682</v>
      </c>
      <c r="J113" s="6">
        <v>0</v>
      </c>
      <c r="K113" s="6">
        <v>0</v>
      </c>
      <c r="L113" s="6">
        <v>220.846</v>
      </c>
      <c r="M113" s="6">
        <v>220.846</v>
      </c>
      <c r="N113" s="6">
        <v>220.846</v>
      </c>
      <c r="O113" s="6">
        <v>220.846</v>
      </c>
      <c r="P113" s="6">
        <v>700</v>
      </c>
      <c r="Q113" s="4" t="s">
        <v>26</v>
      </c>
      <c r="R113" s="4">
        <v>0</v>
      </c>
      <c r="S113" s="4">
        <v>0</v>
      </c>
      <c r="T113" s="4">
        <v>49</v>
      </c>
      <c r="U113" s="4">
        <v>59</v>
      </c>
      <c r="V113" s="6">
        <f>IF(ISERROR(VLOOKUP($S$113,'TAR FIN'!$A$1:$O$85,15,0)),0,VLOOKUP($S$113,'TAR FIN'!$A$1:$O$85,15,0))</f>
        <v>0</v>
      </c>
      <c r="W113" s="6">
        <f>IF(ISERROR(VLOOKUP($T$113,'TAR FIN'!$A$1:$O$85,15,0)),0,VLOOKUP($T$113,'TAR FIN'!$A$1:$O$85,15,0))</f>
        <v>535.97</v>
      </c>
      <c r="X113" s="6">
        <f>IF(ISERROR(VLOOKUP($U$113,'TAR FIN'!$A$1:$O$85,15,0)),0,VLOOKUP($U$113,'TAR FIN'!$A$1:$O$85,15,0))</f>
        <v>105.58</v>
      </c>
      <c r="Y113" s="6"/>
      <c r="Z113" s="6">
        <f ca="1">('TUSD BE'!$AM$33+'TUSD BF'!$AM$33+'TUSD CVA'!$AM$33)*(1-CUSTOS!$M$38)</f>
        <v>620.13355393673532</v>
      </c>
      <c r="AA113" s="6">
        <f>('TE BE'!$AB$23+'TE BF'!$AB$23+'TE CVA'!$AB$23)*(1-CUSTOS!$M$38)</f>
        <v>115.23119735093319</v>
      </c>
      <c r="AB113" s="6">
        <f t="shared" si="8"/>
        <v>0</v>
      </c>
      <c r="AC113" s="6">
        <f>(L113-M113)*(W113+X113)+($W$42+$X$42-$W$113-$X$113)*(L113)</f>
        <v>19319.608079999987</v>
      </c>
      <c r="AD113" s="6">
        <f t="shared" si="9"/>
        <v>0</v>
      </c>
      <c r="AE113" s="6">
        <f ca="1">(L113-M113)*(Z113+AA113)+($Z$42+$AA$42-$Z$113-$AA$113)*(L113)</f>
        <v>10366.108331672982</v>
      </c>
      <c r="AF113" s="4" t="s">
        <v>625</v>
      </c>
    </row>
    <row r="114" spans="1:32" ht="11.25" customHeight="1" x14ac:dyDescent="0.3">
      <c r="A114" s="4" t="s">
        <v>28</v>
      </c>
      <c r="B114" s="4" t="s">
        <v>42</v>
      </c>
      <c r="C114" s="4" t="s">
        <v>23</v>
      </c>
      <c r="D114" s="4" t="s">
        <v>43</v>
      </c>
      <c r="E114" s="4" t="s">
        <v>25</v>
      </c>
      <c r="F114" s="4" t="s">
        <v>25</v>
      </c>
      <c r="G114" s="4" t="s">
        <v>25</v>
      </c>
      <c r="H114" s="4" t="s">
        <v>25</v>
      </c>
      <c r="I114" s="5">
        <v>44682</v>
      </c>
      <c r="J114" s="6">
        <v>0</v>
      </c>
      <c r="K114" s="6">
        <v>0</v>
      </c>
      <c r="L114" s="6">
        <v>18.504999999999999</v>
      </c>
      <c r="M114" s="6">
        <v>18.504999999999999</v>
      </c>
      <c r="N114" s="6">
        <v>18.504999999999999</v>
      </c>
      <c r="O114" s="6">
        <v>18.504999999999999</v>
      </c>
      <c r="P114" s="6">
        <v>17</v>
      </c>
      <c r="Q114" s="4" t="s">
        <v>26</v>
      </c>
      <c r="R114" s="4">
        <v>0</v>
      </c>
      <c r="S114" s="4">
        <v>0</v>
      </c>
      <c r="T114" s="4">
        <v>49</v>
      </c>
      <c r="U114" s="4">
        <v>59</v>
      </c>
      <c r="V114" s="6">
        <f>IF(ISERROR(VLOOKUP($S$114,'TAR FIN'!$A$1:$O$85,15,0)),0,VLOOKUP($S$114,'TAR FIN'!$A$1:$O$85,15,0))</f>
        <v>0</v>
      </c>
      <c r="W114" s="6">
        <f>IF(ISERROR(VLOOKUP($T$114,'TAR FIN'!$A$1:$O$85,15,0)),0,VLOOKUP($T$114,'TAR FIN'!$A$1:$O$85,15,0))</f>
        <v>535.97</v>
      </c>
      <c r="X114" s="6">
        <f>IF(ISERROR(VLOOKUP($U$114,'TAR FIN'!$A$1:$O$85,15,0)),0,VLOOKUP($U$114,'TAR FIN'!$A$1:$O$85,15,0))</f>
        <v>105.58</v>
      </c>
      <c r="Y114" s="6"/>
      <c r="Z114" s="6">
        <f ca="1">('TUSD BE'!$AM$33+'TUSD BF'!$AM$33+'TUSD CVA'!$AM$33)*(1-CUSTOS!$M$38)</f>
        <v>620.13355393673532</v>
      </c>
      <c r="AA114" s="6">
        <f>('TE BE'!$AB$23+'TE BF'!$AB$23+'TE CVA'!$AB$23)*(1-CUSTOS!$M$38)</f>
        <v>115.23119735093319</v>
      </c>
      <c r="AB114" s="6">
        <f t="shared" si="8"/>
        <v>0</v>
      </c>
      <c r="AC114" s="6">
        <f>(L114-M114)*(W114+X114)+($W$42+$X$42-$W$114-$X$114)*(L114)</f>
        <v>1618.817399999999</v>
      </c>
      <c r="AD114" s="6">
        <f t="shared" si="9"/>
        <v>0</v>
      </c>
      <c r="AE114" s="6">
        <f ca="1">(L114-M114)*(Z114+AA114)+($Z$42+$AA$42-$Z$114-$AA$114)*(L114)</f>
        <v>868.59093973904226</v>
      </c>
      <c r="AF114" s="4" t="s">
        <v>625</v>
      </c>
    </row>
    <row r="115" spans="1:32" ht="11.25" customHeight="1" x14ac:dyDescent="0.3">
      <c r="A115" s="4" t="s">
        <v>28</v>
      </c>
      <c r="B115" s="4" t="s">
        <v>42</v>
      </c>
      <c r="C115" s="4" t="s">
        <v>23</v>
      </c>
      <c r="D115" s="4" t="s">
        <v>43</v>
      </c>
      <c r="E115" s="4" t="s">
        <v>25</v>
      </c>
      <c r="F115" s="4" t="s">
        <v>25</v>
      </c>
      <c r="G115" s="4" t="s">
        <v>25</v>
      </c>
      <c r="H115" s="4" t="s">
        <v>25</v>
      </c>
      <c r="I115" s="5">
        <v>44682</v>
      </c>
      <c r="J115" s="6">
        <v>0</v>
      </c>
      <c r="K115" s="6">
        <v>0</v>
      </c>
      <c r="L115" s="6">
        <v>-5.4939999999999998</v>
      </c>
      <c r="M115" s="6">
        <v>-5.4939999999999998</v>
      </c>
      <c r="N115" s="6">
        <v>-5.4939999999999998</v>
      </c>
      <c r="O115" s="6">
        <v>-5.4939999999999998</v>
      </c>
      <c r="P115" s="6">
        <v>2</v>
      </c>
      <c r="Q115" s="4" t="s">
        <v>26</v>
      </c>
      <c r="R115" s="4">
        <v>0</v>
      </c>
      <c r="S115" s="4">
        <v>0</v>
      </c>
      <c r="T115" s="4">
        <v>49</v>
      </c>
      <c r="U115" s="4">
        <v>59</v>
      </c>
      <c r="V115" s="6">
        <f>IF(ISERROR(VLOOKUP($S$115,'TAR FIN'!$A$1:$O$85,15,0)),0,VLOOKUP($S$115,'TAR FIN'!$A$1:$O$85,15,0))</f>
        <v>0</v>
      </c>
      <c r="W115" s="6">
        <f>IF(ISERROR(VLOOKUP($T$115,'TAR FIN'!$A$1:$O$85,15,0)),0,VLOOKUP($T$115,'TAR FIN'!$A$1:$O$85,15,0))</f>
        <v>535.97</v>
      </c>
      <c r="X115" s="6">
        <f>IF(ISERROR(VLOOKUP($U$115,'TAR FIN'!$A$1:$O$85,15,0)),0,VLOOKUP($U$115,'TAR FIN'!$A$1:$O$85,15,0))</f>
        <v>105.58</v>
      </c>
      <c r="Y115" s="6"/>
      <c r="Z115" s="6">
        <f ca="1">('TUSD BE'!$AM$33+'TUSD BF'!$AM$33+'TUSD CVA'!$AM$33)*(1-CUSTOS!$M$38)</f>
        <v>620.13355393673532</v>
      </c>
      <c r="AA115" s="6">
        <f>('TE BE'!$AB$23+'TE BF'!$AB$23+'TE CVA'!$AB$23)*(1-CUSTOS!$M$38)</f>
        <v>115.23119735093319</v>
      </c>
      <c r="AB115" s="6">
        <f t="shared" si="8"/>
        <v>0</v>
      </c>
      <c r="AC115" s="6">
        <f>(L115-M115)*(W115+X115)+($W$42+$X$42-$W$115-$X$115)*(L115)</f>
        <v>-480.61511999999971</v>
      </c>
      <c r="AD115" s="6">
        <f t="shared" si="9"/>
        <v>0</v>
      </c>
      <c r="AE115" s="6">
        <f ca="1">(L115-M115)*(Z115+AA115)+($Z$42+$AA$42-$Z$115-$AA$115)*(L115)</f>
        <v>-257.87833682390158</v>
      </c>
      <c r="AF115" s="4" t="s">
        <v>625</v>
      </c>
    </row>
    <row r="116" spans="1:32" ht="11.25" customHeight="1" x14ac:dyDescent="0.3">
      <c r="A116" s="4" t="s">
        <v>21</v>
      </c>
      <c r="B116" s="4" t="s">
        <v>42</v>
      </c>
      <c r="C116" s="4" t="s">
        <v>23</v>
      </c>
      <c r="D116" s="4" t="s">
        <v>43</v>
      </c>
      <c r="E116" s="4" t="s">
        <v>25</v>
      </c>
      <c r="F116" s="4" t="s">
        <v>25</v>
      </c>
      <c r="G116" s="4" t="s">
        <v>25</v>
      </c>
      <c r="H116" s="4" t="s">
        <v>25</v>
      </c>
      <c r="I116" s="5">
        <v>44713</v>
      </c>
      <c r="J116" s="6">
        <v>0</v>
      </c>
      <c r="K116" s="6">
        <v>0</v>
      </c>
      <c r="L116" s="6">
        <v>269.67599999999999</v>
      </c>
      <c r="M116" s="6">
        <v>269.67599999999999</v>
      </c>
      <c r="N116" s="6">
        <v>269.67599999999999</v>
      </c>
      <c r="O116" s="6">
        <v>269.67599999999999</v>
      </c>
      <c r="P116" s="6">
        <v>701</v>
      </c>
      <c r="Q116" s="4" t="s">
        <v>26</v>
      </c>
      <c r="R116" s="4">
        <v>0</v>
      </c>
      <c r="S116" s="4">
        <v>0</v>
      </c>
      <c r="T116" s="4">
        <v>49</v>
      </c>
      <c r="U116" s="4">
        <v>59</v>
      </c>
      <c r="V116" s="6">
        <f>IF(ISERROR(VLOOKUP($S$116,'TAR FIN'!$A$1:$O$85,15,0)),0,VLOOKUP($S$116,'TAR FIN'!$A$1:$O$85,15,0))</f>
        <v>0</v>
      </c>
      <c r="W116" s="6">
        <f>IF(ISERROR(VLOOKUP($T$116,'TAR FIN'!$A$1:$O$85,15,0)),0,VLOOKUP($T$116,'TAR FIN'!$A$1:$O$85,15,0))</f>
        <v>535.97</v>
      </c>
      <c r="X116" s="6">
        <f>IF(ISERROR(VLOOKUP($U$116,'TAR FIN'!$A$1:$O$85,15,0)),0,VLOOKUP($U$116,'TAR FIN'!$A$1:$O$85,15,0))</f>
        <v>105.58</v>
      </c>
      <c r="Y116" s="6"/>
      <c r="Z116" s="6">
        <f ca="1">('TUSD BE'!$AM$33+'TUSD BF'!$AM$33+'TUSD CVA'!$AM$33)*(1-CUSTOS!$M$38)</f>
        <v>620.13355393673532</v>
      </c>
      <c r="AA116" s="6">
        <f>('TE BE'!$AB$23+'TE BF'!$AB$23+'TE CVA'!$AB$23)*(1-CUSTOS!$M$38)</f>
        <v>115.23119735093319</v>
      </c>
      <c r="AB116" s="6">
        <f t="shared" si="8"/>
        <v>0</v>
      </c>
      <c r="AC116" s="6">
        <f>(L116-M116)*(W116+X116)+($W$42+$X$42-$W$116-$X$116)*(L116)</f>
        <v>23591.256479999985</v>
      </c>
      <c r="AD116" s="6">
        <f t="shared" si="9"/>
        <v>0</v>
      </c>
      <c r="AE116" s="6">
        <f ca="1">(L116-M116)*(Z116+AA116)+($Z$42+$AA$42-$Z$116-$AA$116)*(L116)</f>
        <v>12658.099446909806</v>
      </c>
      <c r="AF116" s="4" t="s">
        <v>625</v>
      </c>
    </row>
    <row r="117" spans="1:32" ht="11.25" customHeight="1" x14ac:dyDescent="0.3">
      <c r="A117" s="4" t="s">
        <v>28</v>
      </c>
      <c r="B117" s="4" t="s">
        <v>42</v>
      </c>
      <c r="C117" s="4" t="s">
        <v>23</v>
      </c>
      <c r="D117" s="4" t="s">
        <v>43</v>
      </c>
      <c r="E117" s="4" t="s">
        <v>25</v>
      </c>
      <c r="F117" s="4" t="s">
        <v>25</v>
      </c>
      <c r="G117" s="4" t="s">
        <v>25</v>
      </c>
      <c r="H117" s="4" t="s">
        <v>25</v>
      </c>
      <c r="I117" s="5">
        <v>44713</v>
      </c>
      <c r="J117" s="6">
        <v>0</v>
      </c>
      <c r="K117" s="6">
        <v>0</v>
      </c>
      <c r="L117" s="6">
        <v>-3.0350000000000001</v>
      </c>
      <c r="M117" s="6">
        <v>-3.0350000000000001</v>
      </c>
      <c r="N117" s="6">
        <v>-3.0350000000000001</v>
      </c>
      <c r="O117" s="6">
        <v>-3.0350000000000001</v>
      </c>
      <c r="P117" s="6">
        <v>2</v>
      </c>
      <c r="Q117" s="4" t="s">
        <v>26</v>
      </c>
      <c r="R117" s="4">
        <v>0</v>
      </c>
      <c r="S117" s="4">
        <v>0</v>
      </c>
      <c r="T117" s="4">
        <v>49</v>
      </c>
      <c r="U117" s="4">
        <v>59</v>
      </c>
      <c r="V117" s="6">
        <f>IF(ISERROR(VLOOKUP($S$117,'TAR FIN'!$A$1:$O$85,15,0)),0,VLOOKUP($S$117,'TAR FIN'!$A$1:$O$85,15,0))</f>
        <v>0</v>
      </c>
      <c r="W117" s="6">
        <f>IF(ISERROR(VLOOKUP($T$117,'TAR FIN'!$A$1:$O$85,15,0)),0,VLOOKUP($T$117,'TAR FIN'!$A$1:$O$85,15,0))</f>
        <v>535.97</v>
      </c>
      <c r="X117" s="6">
        <f>IF(ISERROR(VLOOKUP($U$117,'TAR FIN'!$A$1:$O$85,15,0)),0,VLOOKUP($U$117,'TAR FIN'!$A$1:$O$85,15,0))</f>
        <v>105.58</v>
      </c>
      <c r="Y117" s="6"/>
      <c r="Z117" s="6">
        <f ca="1">('TUSD BE'!$AM$33+'TUSD BF'!$AM$33+'TUSD CVA'!$AM$33)*(1-CUSTOS!$M$38)</f>
        <v>620.13355393673532</v>
      </c>
      <c r="AA117" s="6">
        <f>('TE BE'!$AB$23+'TE BF'!$AB$23+'TE CVA'!$AB$23)*(1-CUSTOS!$M$38)</f>
        <v>115.23119735093319</v>
      </c>
      <c r="AB117" s="6">
        <f t="shared" si="8"/>
        <v>0</v>
      </c>
      <c r="AC117" s="6">
        <f>(L117-M117)*(W117+X117)+($W$42+$X$42-$W$117-$X$117)*(L117)</f>
        <v>-265.50179999999983</v>
      </c>
      <c r="AD117" s="6">
        <f t="shared" si="9"/>
        <v>0</v>
      </c>
      <c r="AE117" s="6">
        <f ca="1">(L117-M117)*(Z117+AA117)+($Z$42+$AA$42-$Z$117-$AA$117)*(L117)</f>
        <v>-142.45736298881349</v>
      </c>
      <c r="AF117" s="4" t="s">
        <v>625</v>
      </c>
    </row>
    <row r="118" spans="1:32" ht="11.25" customHeight="1" x14ac:dyDescent="0.3">
      <c r="A118" s="4" t="s">
        <v>28</v>
      </c>
      <c r="B118" s="4" t="s">
        <v>42</v>
      </c>
      <c r="C118" s="4" t="s">
        <v>23</v>
      </c>
      <c r="D118" s="4" t="s">
        <v>43</v>
      </c>
      <c r="E118" s="4" t="s">
        <v>25</v>
      </c>
      <c r="F118" s="4" t="s">
        <v>25</v>
      </c>
      <c r="G118" s="4" t="s">
        <v>25</v>
      </c>
      <c r="H118" s="4" t="s">
        <v>25</v>
      </c>
      <c r="I118" s="5">
        <v>44713</v>
      </c>
      <c r="J118" s="6">
        <v>0</v>
      </c>
      <c r="K118" s="6">
        <v>0</v>
      </c>
      <c r="L118" s="6">
        <v>30.792999999999999</v>
      </c>
      <c r="M118" s="6">
        <v>30.792999999999999</v>
      </c>
      <c r="N118" s="6">
        <v>30.792999999999999</v>
      </c>
      <c r="O118" s="6">
        <v>30.792999999999999</v>
      </c>
      <c r="P118" s="6">
        <v>16</v>
      </c>
      <c r="Q118" s="4" t="s">
        <v>26</v>
      </c>
      <c r="R118" s="4">
        <v>0</v>
      </c>
      <c r="S118" s="4">
        <v>0</v>
      </c>
      <c r="T118" s="4">
        <v>49</v>
      </c>
      <c r="U118" s="4">
        <v>59</v>
      </c>
      <c r="V118" s="6">
        <f>IF(ISERROR(VLOOKUP($S$118,'TAR FIN'!$A$1:$O$85,15,0)),0,VLOOKUP($S$118,'TAR FIN'!$A$1:$O$85,15,0))</f>
        <v>0</v>
      </c>
      <c r="W118" s="6">
        <f>IF(ISERROR(VLOOKUP($T$118,'TAR FIN'!$A$1:$O$85,15,0)),0,VLOOKUP($T$118,'TAR FIN'!$A$1:$O$85,15,0))</f>
        <v>535.97</v>
      </c>
      <c r="X118" s="6">
        <f>IF(ISERROR(VLOOKUP($U$118,'TAR FIN'!$A$1:$O$85,15,0)),0,VLOOKUP($U$118,'TAR FIN'!$A$1:$O$85,15,0))</f>
        <v>105.58</v>
      </c>
      <c r="Y118" s="6"/>
      <c r="Z118" s="6">
        <f ca="1">('TUSD BE'!$AM$33+'TUSD BF'!$AM$33+'TUSD CVA'!$AM$33)*(1-CUSTOS!$M$38)</f>
        <v>620.13355393673532</v>
      </c>
      <c r="AA118" s="6">
        <f>('TE BE'!$AB$23+'TE BF'!$AB$23+'TE CVA'!$AB$23)*(1-CUSTOS!$M$38)</f>
        <v>115.23119735093319</v>
      </c>
      <c r="AB118" s="6">
        <f t="shared" si="8"/>
        <v>0</v>
      </c>
      <c r="AC118" s="6">
        <f>(L118-M118)*(W118+X118)+($W$42+$X$42-$W$118-$X$118)*(L118)</f>
        <v>2693.7716399999981</v>
      </c>
      <c r="AD118" s="6">
        <f t="shared" si="9"/>
        <v>0</v>
      </c>
      <c r="AE118" s="6">
        <f ca="1">(L118-M118)*(Z118+AA118)+($Z$42+$AA$42-$Z$118-$AA$118)*(L118)</f>
        <v>1445.3672416851839</v>
      </c>
      <c r="AF118" s="4" t="s">
        <v>625</v>
      </c>
    </row>
    <row r="119" spans="1:32" ht="11.25" customHeight="1" x14ac:dyDescent="0.3">
      <c r="A119" s="4" t="s">
        <v>21</v>
      </c>
      <c r="B119" s="4" t="s">
        <v>42</v>
      </c>
      <c r="C119" s="4" t="s">
        <v>23</v>
      </c>
      <c r="D119" s="4" t="s">
        <v>43</v>
      </c>
      <c r="E119" s="4" t="s">
        <v>25</v>
      </c>
      <c r="F119" s="4" t="s">
        <v>25</v>
      </c>
      <c r="G119" s="4" t="s">
        <v>25</v>
      </c>
      <c r="H119" s="4" t="s">
        <v>25</v>
      </c>
      <c r="I119" s="5">
        <v>44743</v>
      </c>
      <c r="J119" s="6">
        <v>0</v>
      </c>
      <c r="K119" s="6">
        <v>0</v>
      </c>
      <c r="L119" s="6">
        <v>241.06</v>
      </c>
      <c r="M119" s="6">
        <v>241.06</v>
      </c>
      <c r="N119" s="6">
        <v>241.06</v>
      </c>
      <c r="O119" s="6">
        <v>241.06</v>
      </c>
      <c r="P119" s="6">
        <v>698</v>
      </c>
      <c r="Q119" s="4" t="s">
        <v>26</v>
      </c>
      <c r="R119" s="4">
        <v>0</v>
      </c>
      <c r="S119" s="4">
        <v>0</v>
      </c>
      <c r="T119" s="4">
        <v>49</v>
      </c>
      <c r="U119" s="4">
        <v>59</v>
      </c>
      <c r="V119" s="6">
        <f>IF(ISERROR(VLOOKUP($S$119,'TAR FIN'!$A$1:$O$85,15,0)),0,VLOOKUP($S$119,'TAR FIN'!$A$1:$O$85,15,0))</f>
        <v>0</v>
      </c>
      <c r="W119" s="6">
        <f>IF(ISERROR(VLOOKUP($T$119,'TAR FIN'!$A$1:$O$85,15,0)),0,VLOOKUP($T$119,'TAR FIN'!$A$1:$O$85,15,0))</f>
        <v>535.97</v>
      </c>
      <c r="X119" s="6">
        <f>IF(ISERROR(VLOOKUP($U$119,'TAR FIN'!$A$1:$O$85,15,0)),0,VLOOKUP($U$119,'TAR FIN'!$A$1:$O$85,15,0))</f>
        <v>105.58</v>
      </c>
      <c r="Y119" s="6"/>
      <c r="Z119" s="6">
        <f ca="1">('TUSD BE'!$AM$33+'TUSD BF'!$AM$33+'TUSD CVA'!$AM$33)*(1-CUSTOS!$M$38)</f>
        <v>620.13355393673532</v>
      </c>
      <c r="AA119" s="6">
        <f>('TE BE'!$AB$23+'TE BF'!$AB$23+'TE CVA'!$AB$23)*(1-CUSTOS!$M$38)</f>
        <v>115.23119735093319</v>
      </c>
      <c r="AB119" s="6">
        <f t="shared" si="8"/>
        <v>0</v>
      </c>
      <c r="AC119" s="6">
        <f>(L119-M119)*(W119+X119)+($W$42+$X$42-$W$119-$X$119)*(L119)</f>
        <v>21087.928799999987</v>
      </c>
      <c r="AD119" s="6">
        <f t="shared" si="9"/>
        <v>0</v>
      </c>
      <c r="AE119" s="6">
        <f ca="1">(L119-M119)*(Z119+AA119)+($Z$42+$AA$42-$Z$119-$AA$119)*(L119)</f>
        <v>11314.916613536534</v>
      </c>
      <c r="AF119" s="4" t="s">
        <v>625</v>
      </c>
    </row>
    <row r="120" spans="1:32" ht="11.25" customHeight="1" x14ac:dyDescent="0.3">
      <c r="A120" s="4" t="s">
        <v>28</v>
      </c>
      <c r="B120" s="4" t="s">
        <v>42</v>
      </c>
      <c r="C120" s="4" t="s">
        <v>23</v>
      </c>
      <c r="D120" s="4" t="s">
        <v>43</v>
      </c>
      <c r="E120" s="4" t="s">
        <v>25</v>
      </c>
      <c r="F120" s="4" t="s">
        <v>25</v>
      </c>
      <c r="G120" s="4" t="s">
        <v>25</v>
      </c>
      <c r="H120" s="4" t="s">
        <v>25</v>
      </c>
      <c r="I120" s="5">
        <v>44743</v>
      </c>
      <c r="J120" s="6">
        <v>0</v>
      </c>
      <c r="K120" s="6">
        <v>0</v>
      </c>
      <c r="L120" s="6">
        <v>28.602</v>
      </c>
      <c r="M120" s="6">
        <v>28.602</v>
      </c>
      <c r="N120" s="6">
        <v>28.602</v>
      </c>
      <c r="O120" s="6">
        <v>28.602</v>
      </c>
      <c r="P120" s="6">
        <v>18</v>
      </c>
      <c r="Q120" s="4" t="s">
        <v>26</v>
      </c>
      <c r="R120" s="4">
        <v>0</v>
      </c>
      <c r="S120" s="4">
        <v>0</v>
      </c>
      <c r="T120" s="4">
        <v>49</v>
      </c>
      <c r="U120" s="4">
        <v>59</v>
      </c>
      <c r="V120" s="6">
        <f>IF(ISERROR(VLOOKUP($S$120,'TAR FIN'!$A$1:$O$85,15,0)),0,VLOOKUP($S$120,'TAR FIN'!$A$1:$O$85,15,0))</f>
        <v>0</v>
      </c>
      <c r="W120" s="6">
        <f>IF(ISERROR(VLOOKUP($T$120,'TAR FIN'!$A$1:$O$85,15,0)),0,VLOOKUP($T$120,'TAR FIN'!$A$1:$O$85,15,0))</f>
        <v>535.97</v>
      </c>
      <c r="X120" s="6">
        <f>IF(ISERROR(VLOOKUP($U$120,'TAR FIN'!$A$1:$O$85,15,0)),0,VLOOKUP($U$120,'TAR FIN'!$A$1:$O$85,15,0))</f>
        <v>105.58</v>
      </c>
      <c r="Y120" s="6"/>
      <c r="Z120" s="6">
        <f ca="1">('TUSD BE'!$AM$33+'TUSD BF'!$AM$33+'TUSD CVA'!$AM$33)*(1-CUSTOS!$M$38)</f>
        <v>620.13355393673532</v>
      </c>
      <c r="AA120" s="6">
        <f>('TE BE'!$AB$23+'TE BF'!$AB$23+'TE CVA'!$AB$23)*(1-CUSTOS!$M$38)</f>
        <v>115.23119735093319</v>
      </c>
      <c r="AB120" s="6">
        <f t="shared" si="8"/>
        <v>0</v>
      </c>
      <c r="AC120" s="6">
        <f>(L120-M120)*(W120+X120)+($W$42+$X$42-$W$120-$X$120)*(L120)</f>
        <v>2502.1029599999983</v>
      </c>
      <c r="AD120" s="6">
        <f t="shared" si="9"/>
        <v>0</v>
      </c>
      <c r="AE120" s="6">
        <f ca="1">(L120-M120)*(Z120+AA120)+($Z$42+$AA$42-$Z$120-$AA$120)*(L120)</f>
        <v>1342.5256989146765</v>
      </c>
      <c r="AF120" s="4" t="s">
        <v>625</v>
      </c>
    </row>
    <row r="121" spans="1:32" ht="11.25" customHeight="1" x14ac:dyDescent="0.3">
      <c r="A121" s="4" t="s">
        <v>52</v>
      </c>
      <c r="B121" s="4" t="s">
        <v>42</v>
      </c>
      <c r="C121" s="4" t="s">
        <v>23</v>
      </c>
      <c r="D121" s="4" t="s">
        <v>43</v>
      </c>
      <c r="E121" s="4" t="s">
        <v>25</v>
      </c>
      <c r="F121" s="4" t="s">
        <v>25</v>
      </c>
      <c r="G121" s="4" t="s">
        <v>25</v>
      </c>
      <c r="H121" s="4" t="s">
        <v>25</v>
      </c>
      <c r="I121" s="5">
        <v>44774</v>
      </c>
      <c r="J121" s="6">
        <v>0</v>
      </c>
      <c r="K121" s="6">
        <v>0</v>
      </c>
      <c r="L121" s="6">
        <v>241.06</v>
      </c>
      <c r="M121" s="6">
        <v>241.06</v>
      </c>
      <c r="N121" s="6">
        <v>241.06</v>
      </c>
      <c r="O121" s="6">
        <v>241.06</v>
      </c>
      <c r="P121" s="6">
        <v>698</v>
      </c>
      <c r="Q121" s="4" t="s">
        <v>26</v>
      </c>
      <c r="R121" s="4">
        <v>0</v>
      </c>
      <c r="S121" s="4">
        <v>0</v>
      </c>
      <c r="T121" s="4">
        <v>49</v>
      </c>
      <c r="U121" s="4">
        <v>59</v>
      </c>
      <c r="V121" s="6">
        <f>IF(ISERROR(VLOOKUP($S$121,'TAR FIN'!$A$1:$O$85,15,0)),0,VLOOKUP($S$121,'TAR FIN'!$A$1:$O$85,15,0))</f>
        <v>0</v>
      </c>
      <c r="W121" s="6">
        <f>IF(ISERROR(VLOOKUP($T$121,'TAR FIN'!$A$1:$O$85,15,0)),0,VLOOKUP($T$121,'TAR FIN'!$A$1:$O$85,15,0))</f>
        <v>535.97</v>
      </c>
      <c r="X121" s="6">
        <f>IF(ISERROR(VLOOKUP($U$121,'TAR FIN'!$A$1:$O$85,15,0)),0,VLOOKUP($U$121,'TAR FIN'!$A$1:$O$85,15,0))</f>
        <v>105.58</v>
      </c>
      <c r="Y121" s="6"/>
      <c r="Z121" s="6">
        <f ca="1">('TUSD BE'!$AM$33+'TUSD BF'!$AM$33+'TUSD CVA'!$AM$33)*(1-CUSTOS!$M$38)</f>
        <v>620.13355393673532</v>
      </c>
      <c r="AA121" s="6">
        <f>('TE BE'!$AB$23+'TE BF'!$AB$23+'TE CVA'!$AB$23)*(1-CUSTOS!$M$38)</f>
        <v>115.23119735093319</v>
      </c>
      <c r="AB121" s="6">
        <f t="shared" si="8"/>
        <v>0</v>
      </c>
      <c r="AC121" s="6">
        <f>(L121-M121)*(W121+X121)+($W$42+$X$42-$W$121-$X$121)*(L121)</f>
        <v>21087.928799999987</v>
      </c>
      <c r="AD121" s="6">
        <f t="shared" si="9"/>
        <v>0</v>
      </c>
      <c r="AE121" s="6">
        <f ca="1">(L121-M121)*(Z121+AA121)+($Z$42+$AA$42-$Z$121-$AA$121)*(L121)</f>
        <v>11314.916613536534</v>
      </c>
      <c r="AF121" s="4" t="s">
        <v>625</v>
      </c>
    </row>
    <row r="122" spans="1:32" ht="11.25" customHeight="1" x14ac:dyDescent="0.3">
      <c r="A122" s="4" t="s">
        <v>52</v>
      </c>
      <c r="B122" s="4" t="s">
        <v>42</v>
      </c>
      <c r="C122" s="4" t="s">
        <v>23</v>
      </c>
      <c r="D122" s="4" t="s">
        <v>43</v>
      </c>
      <c r="E122" s="4" t="s">
        <v>25</v>
      </c>
      <c r="F122" s="4" t="s">
        <v>25</v>
      </c>
      <c r="G122" s="4" t="s">
        <v>25</v>
      </c>
      <c r="H122" s="4" t="s">
        <v>25</v>
      </c>
      <c r="I122" s="5">
        <v>44774</v>
      </c>
      <c r="J122" s="6">
        <v>0</v>
      </c>
      <c r="K122" s="6">
        <v>0</v>
      </c>
      <c r="L122" s="6">
        <v>28.602</v>
      </c>
      <c r="M122" s="6">
        <v>28.602</v>
      </c>
      <c r="N122" s="6">
        <v>28.602</v>
      </c>
      <c r="O122" s="6">
        <v>28.602</v>
      </c>
      <c r="P122" s="6">
        <v>18</v>
      </c>
      <c r="Q122" s="4" t="s">
        <v>26</v>
      </c>
      <c r="R122" s="4">
        <v>0</v>
      </c>
      <c r="S122" s="4">
        <v>0</v>
      </c>
      <c r="T122" s="4">
        <v>49</v>
      </c>
      <c r="U122" s="4">
        <v>59</v>
      </c>
      <c r="V122" s="6">
        <f>IF(ISERROR(VLOOKUP($S$122,'TAR FIN'!$A$1:$O$85,15,0)),0,VLOOKUP($S$122,'TAR FIN'!$A$1:$O$85,15,0))</f>
        <v>0</v>
      </c>
      <c r="W122" s="6">
        <f>IF(ISERROR(VLOOKUP($T$122,'TAR FIN'!$A$1:$O$85,15,0)),0,VLOOKUP($T$122,'TAR FIN'!$A$1:$O$85,15,0))</f>
        <v>535.97</v>
      </c>
      <c r="X122" s="6">
        <f>IF(ISERROR(VLOOKUP($U$122,'TAR FIN'!$A$1:$O$85,15,0)),0,VLOOKUP($U$122,'TAR FIN'!$A$1:$O$85,15,0))</f>
        <v>105.58</v>
      </c>
      <c r="Y122" s="6"/>
      <c r="Z122" s="6">
        <f ca="1">('TUSD BE'!$AM$33+'TUSD BF'!$AM$33+'TUSD CVA'!$AM$33)*(1-CUSTOS!$M$38)</f>
        <v>620.13355393673532</v>
      </c>
      <c r="AA122" s="6">
        <f>('TE BE'!$AB$23+'TE BF'!$AB$23+'TE CVA'!$AB$23)*(1-CUSTOS!$M$38)</f>
        <v>115.23119735093319</v>
      </c>
      <c r="AB122" s="6">
        <f t="shared" si="8"/>
        <v>0</v>
      </c>
      <c r="AC122" s="6">
        <f>(L122-M122)*(W122+X122)+($W$42+$X$42-$W$122-$X$122)*(L122)</f>
        <v>2502.1029599999983</v>
      </c>
      <c r="AD122" s="6">
        <f t="shared" si="9"/>
        <v>0</v>
      </c>
      <c r="AE122" s="6">
        <f ca="1">(L122-M122)*(Z122+AA122)+($Z$42+$AA$42-$Z$122-$AA$122)*(L122)</f>
        <v>1342.5256989146765</v>
      </c>
      <c r="AF122" s="4" t="s">
        <v>625</v>
      </c>
    </row>
    <row r="123" spans="1:32" ht="11.25" customHeight="1" x14ac:dyDescent="0.3">
      <c r="A123" s="4" t="s">
        <v>21</v>
      </c>
      <c r="B123" s="4" t="s">
        <v>33</v>
      </c>
      <c r="C123" s="4" t="s">
        <v>23</v>
      </c>
      <c r="D123" s="4" t="s">
        <v>48</v>
      </c>
      <c r="E123" s="4" t="s">
        <v>49</v>
      </c>
      <c r="F123" s="4" t="s">
        <v>25</v>
      </c>
      <c r="G123" s="4" t="s">
        <v>25</v>
      </c>
      <c r="H123" s="4" t="s">
        <v>25</v>
      </c>
      <c r="I123" s="5">
        <v>44440</v>
      </c>
      <c r="J123" s="6">
        <v>0</v>
      </c>
      <c r="K123" s="53">
        <v>0</v>
      </c>
      <c r="L123" s="6">
        <v>4.5170000000000003</v>
      </c>
      <c r="M123" s="53">
        <v>4.5170000000000003</v>
      </c>
      <c r="N123" s="6">
        <v>4.5170000000000003</v>
      </c>
      <c r="O123" s="53">
        <v>4.5170000000000003</v>
      </c>
      <c r="P123" s="6">
        <v>7</v>
      </c>
      <c r="Q123" s="4" t="s">
        <v>26</v>
      </c>
      <c r="R123" s="4">
        <v>0</v>
      </c>
      <c r="S123" s="4">
        <v>0</v>
      </c>
      <c r="T123" s="4">
        <v>28</v>
      </c>
      <c r="U123" s="4">
        <v>76</v>
      </c>
      <c r="V123" s="53">
        <f>IF(ISERROR(VLOOKUP($S$123,'TAR FIN'!$A$1:$O$85,15,0)),0,VLOOKUP($S$123,'TAR FIN'!$A$1:$O$85,15,0))</f>
        <v>0</v>
      </c>
      <c r="W123" s="53">
        <f>IF(ISERROR(VLOOKUP($T$123,'TAR FIN'!$A$1:$O$85,15,0)),0,VLOOKUP($T$123,'TAR FIN'!$A$1:$O$85,15,0))*(1-0.06)</f>
        <v>572.51639999999986</v>
      </c>
      <c r="X123" s="53">
        <f>IF(ISERROR(VLOOKUP($U$123,'TAR FIN'!$A$1:$O$85,15,0)),0,VLOOKUP($U$123,'TAR FIN'!$A$1:$O$85,15,0))*(1-0.06)</f>
        <v>112.7718</v>
      </c>
      <c r="Y123" s="53"/>
      <c r="Z123" s="53">
        <f ca="1">('TUSD BE'!$AM$48+'TUSD BF'!$AM$48+'TUSD CVA'!$AM$48)*1*(1-0.03)</f>
        <v>639.92505033897157</v>
      </c>
      <c r="AA123" s="53">
        <f>('TE BE'!$AB$38+'TE BF'!$AB$38+'TE CVA'!$AB$38)*1*(1-0.03)</f>
        <v>118.90878875575021</v>
      </c>
      <c r="AB123" s="53">
        <f>(SUBSIDIO!$J$123*SUBSIDIO!$V$123)*(0.06)/(1-0.06)</f>
        <v>0</v>
      </c>
      <c r="AC123" s="53">
        <f>((SUBSIDIO!$L$123*SUBSIDIO!$W$123)+(SUBSIDIO!$N$123*SUBSIDIO!$X$123))*(0.06)/(1-0.06)</f>
        <v>197.58171060000001</v>
      </c>
      <c r="AD123" s="53">
        <f>(SUBSIDIO!$J$123*SUBSIDIO!$Y$123)*(0.03)/(1-0.03)</f>
        <v>0</v>
      </c>
      <c r="AE123" s="53">
        <f ca="1">((SUBSIDIO!$L$123*SUBSIDIO!$Z$123)+(SUBSIDIO!$N$123*SUBSIDIO!$AA$123))*(0.03)/(1-0.03)</f>
        <v>106.00986962445953</v>
      </c>
      <c r="AF123" s="4" t="s">
        <v>624</v>
      </c>
    </row>
    <row r="124" spans="1:32" ht="11.25" customHeight="1" x14ac:dyDescent="0.3">
      <c r="A124" s="4" t="s">
        <v>21</v>
      </c>
      <c r="B124" s="4" t="s">
        <v>33</v>
      </c>
      <c r="C124" s="4" t="s">
        <v>23</v>
      </c>
      <c r="D124" s="4" t="s">
        <v>48</v>
      </c>
      <c r="E124" s="4" t="s">
        <v>49</v>
      </c>
      <c r="F124" s="4" t="s">
        <v>25</v>
      </c>
      <c r="G124" s="4" t="s">
        <v>25</v>
      </c>
      <c r="H124" s="4" t="s">
        <v>25</v>
      </c>
      <c r="I124" s="5">
        <v>44470</v>
      </c>
      <c r="J124" s="6">
        <v>0</v>
      </c>
      <c r="K124" s="53">
        <v>0</v>
      </c>
      <c r="L124" s="6">
        <v>4.6639999999999997</v>
      </c>
      <c r="M124" s="53">
        <v>4.6639999999999997</v>
      </c>
      <c r="N124" s="6">
        <v>4.6639999999999997</v>
      </c>
      <c r="O124" s="53">
        <v>4.6639999999999997</v>
      </c>
      <c r="P124" s="6">
        <v>7</v>
      </c>
      <c r="Q124" s="4" t="s">
        <v>26</v>
      </c>
      <c r="R124" s="4">
        <v>0</v>
      </c>
      <c r="S124" s="4">
        <v>0</v>
      </c>
      <c r="T124" s="4">
        <v>28</v>
      </c>
      <c r="U124" s="4">
        <v>76</v>
      </c>
      <c r="V124" s="53">
        <f>IF(ISERROR(VLOOKUP($S$124,'TAR FIN'!$A$1:$O$85,15,0)),0,VLOOKUP($S$124,'TAR FIN'!$A$1:$O$85,15,0))</f>
        <v>0</v>
      </c>
      <c r="W124" s="53">
        <f>IF(ISERROR(VLOOKUP($T$124,'TAR FIN'!$A$1:$O$85,15,0)),0,VLOOKUP($T$124,'TAR FIN'!$A$1:$O$85,15,0))*(1-0.06)</f>
        <v>572.51639999999986</v>
      </c>
      <c r="X124" s="53">
        <f>IF(ISERROR(VLOOKUP($U$124,'TAR FIN'!$A$1:$O$85,15,0)),0,VLOOKUP($U$124,'TAR FIN'!$A$1:$O$85,15,0))*(1-0.06)</f>
        <v>112.7718</v>
      </c>
      <c r="Y124" s="53"/>
      <c r="Z124" s="53">
        <f ca="1">('TUSD BE'!$AM$48+'TUSD BF'!$AM$48+'TUSD CVA'!$AM$48)*1*(1-0.03)</f>
        <v>639.92505033897157</v>
      </c>
      <c r="AA124" s="53">
        <f>('TE BE'!$AB$38+'TE BF'!$AB$38+'TE CVA'!$AB$38)*1*(1-0.03)</f>
        <v>118.90878875575021</v>
      </c>
      <c r="AB124" s="53">
        <f>(SUBSIDIO!$J$124*SUBSIDIO!$V$124)*(0.06)/(1-0.06)</f>
        <v>0</v>
      </c>
      <c r="AC124" s="53">
        <f>((SUBSIDIO!$L$124*SUBSIDIO!$W$124)+(SUBSIDIO!$N$124*SUBSIDIO!$X$124))*(0.06)/(1-0.06)</f>
        <v>204.01175519999995</v>
      </c>
      <c r="AD124" s="53">
        <f>(SUBSIDIO!$J$124*SUBSIDIO!$Y$124)*(0.03)/(1-0.03)</f>
        <v>0</v>
      </c>
      <c r="AE124" s="53">
        <f ca="1">((SUBSIDIO!$L$124*SUBSIDIO!$Z$124)+(SUBSIDIO!$N$124*SUBSIDIO!$AA$124))*(0.03)/(1-0.03)</f>
        <v>109.45982553209636</v>
      </c>
      <c r="AF124" s="4" t="s">
        <v>624</v>
      </c>
    </row>
    <row r="125" spans="1:32" ht="11.25" customHeight="1" x14ac:dyDescent="0.3">
      <c r="A125" s="4" t="s">
        <v>21</v>
      </c>
      <c r="B125" s="4" t="s">
        <v>33</v>
      </c>
      <c r="C125" s="4" t="s">
        <v>23</v>
      </c>
      <c r="D125" s="4" t="s">
        <v>48</v>
      </c>
      <c r="E125" s="4" t="s">
        <v>49</v>
      </c>
      <c r="F125" s="4" t="s">
        <v>25</v>
      </c>
      <c r="G125" s="4" t="s">
        <v>25</v>
      </c>
      <c r="H125" s="4" t="s">
        <v>25</v>
      </c>
      <c r="I125" s="5">
        <v>44501</v>
      </c>
      <c r="J125" s="6">
        <v>0</v>
      </c>
      <c r="K125" s="53">
        <v>0</v>
      </c>
      <c r="L125" s="6">
        <v>4.6029999999999998</v>
      </c>
      <c r="M125" s="53">
        <v>4.6029999999999998</v>
      </c>
      <c r="N125" s="6">
        <v>4.6029999999999998</v>
      </c>
      <c r="O125" s="53">
        <v>4.6029999999999998</v>
      </c>
      <c r="P125" s="6">
        <v>7</v>
      </c>
      <c r="Q125" s="4" t="s">
        <v>26</v>
      </c>
      <c r="R125" s="4">
        <v>0</v>
      </c>
      <c r="S125" s="4">
        <v>0</v>
      </c>
      <c r="T125" s="4">
        <v>28</v>
      </c>
      <c r="U125" s="4">
        <v>76</v>
      </c>
      <c r="V125" s="53">
        <f>IF(ISERROR(VLOOKUP($S$125,'TAR FIN'!$A$1:$O$85,15,0)),0,VLOOKUP($S$125,'TAR FIN'!$A$1:$O$85,15,0))</f>
        <v>0</v>
      </c>
      <c r="W125" s="53">
        <f>IF(ISERROR(VLOOKUP($T$125,'TAR FIN'!$A$1:$O$85,15,0)),0,VLOOKUP($T$125,'TAR FIN'!$A$1:$O$85,15,0))*(1-0.06)</f>
        <v>572.51639999999986</v>
      </c>
      <c r="X125" s="53">
        <f>IF(ISERROR(VLOOKUP($U$125,'TAR FIN'!$A$1:$O$85,15,0)),0,VLOOKUP($U$125,'TAR FIN'!$A$1:$O$85,15,0))*(1-0.06)</f>
        <v>112.7718</v>
      </c>
      <c r="Y125" s="53"/>
      <c r="Z125" s="53">
        <f ca="1">('TUSD BE'!$AM$48+'TUSD BF'!$AM$48+'TUSD CVA'!$AM$48)*1*(1-0.03)</f>
        <v>639.92505033897157</v>
      </c>
      <c r="AA125" s="53">
        <f>('TE BE'!$AB$38+'TE BF'!$AB$38+'TE CVA'!$AB$38)*1*(1-0.03)</f>
        <v>118.90878875575021</v>
      </c>
      <c r="AB125" s="53">
        <f>(SUBSIDIO!$J$125*SUBSIDIO!$V$125)*(0.06)/(1-0.06)</f>
        <v>0</v>
      </c>
      <c r="AC125" s="53">
        <f>((SUBSIDIO!$L$125*SUBSIDIO!$W$125)+(SUBSIDIO!$N$125*SUBSIDIO!$X$125))*(0.06)/(1-0.06)</f>
        <v>201.34350539999997</v>
      </c>
      <c r="AD125" s="53">
        <f>(SUBSIDIO!$J$125*SUBSIDIO!$Y$125)*(0.03)/(1-0.03)</f>
        <v>0</v>
      </c>
      <c r="AE125" s="53">
        <f ca="1">((SUBSIDIO!$L$125*SUBSIDIO!$Z$125)+(SUBSIDIO!$N$125*SUBSIDIO!$AA$125))*(0.03)/(1-0.03)</f>
        <v>108.0282111758661</v>
      </c>
      <c r="AF125" s="4" t="s">
        <v>624</v>
      </c>
    </row>
    <row r="126" spans="1:32" ht="11.25" customHeight="1" x14ac:dyDescent="0.3">
      <c r="A126" s="4" t="s">
        <v>21</v>
      </c>
      <c r="B126" s="4" t="s">
        <v>33</v>
      </c>
      <c r="C126" s="4" t="s">
        <v>23</v>
      </c>
      <c r="D126" s="4" t="s">
        <v>48</v>
      </c>
      <c r="E126" s="4" t="s">
        <v>49</v>
      </c>
      <c r="F126" s="4" t="s">
        <v>25</v>
      </c>
      <c r="G126" s="4" t="s">
        <v>25</v>
      </c>
      <c r="H126" s="4" t="s">
        <v>25</v>
      </c>
      <c r="I126" s="5">
        <v>44531</v>
      </c>
      <c r="J126" s="6">
        <v>0</v>
      </c>
      <c r="K126" s="53">
        <v>0</v>
      </c>
      <c r="L126" s="6">
        <v>4.399</v>
      </c>
      <c r="M126" s="53">
        <v>4.399</v>
      </c>
      <c r="N126" s="6">
        <v>4.399</v>
      </c>
      <c r="O126" s="53">
        <v>4.399</v>
      </c>
      <c r="P126" s="6">
        <v>7</v>
      </c>
      <c r="Q126" s="4" t="s">
        <v>26</v>
      </c>
      <c r="R126" s="4">
        <v>0</v>
      </c>
      <c r="S126" s="4">
        <v>0</v>
      </c>
      <c r="T126" s="4">
        <v>28</v>
      </c>
      <c r="U126" s="4">
        <v>76</v>
      </c>
      <c r="V126" s="53">
        <f>IF(ISERROR(VLOOKUP($S$126,'TAR FIN'!$A$1:$O$85,15,0)),0,VLOOKUP($S$126,'TAR FIN'!$A$1:$O$85,15,0))</f>
        <v>0</v>
      </c>
      <c r="W126" s="53">
        <f>IF(ISERROR(VLOOKUP($T$126,'TAR FIN'!$A$1:$O$85,15,0)),0,VLOOKUP($T$126,'TAR FIN'!$A$1:$O$85,15,0))*(1-0.06)</f>
        <v>572.51639999999986</v>
      </c>
      <c r="X126" s="53">
        <f>IF(ISERROR(VLOOKUP($U$126,'TAR FIN'!$A$1:$O$85,15,0)),0,VLOOKUP($U$126,'TAR FIN'!$A$1:$O$85,15,0))*(1-0.06)</f>
        <v>112.7718</v>
      </c>
      <c r="Y126" s="53"/>
      <c r="Z126" s="53">
        <f ca="1">('TUSD BE'!$AM$48+'TUSD BF'!$AM$48+'TUSD CVA'!$AM$48)*1*(1-0.03)</f>
        <v>639.92505033897157</v>
      </c>
      <c r="AA126" s="53">
        <f>('TE BE'!$AB$38+'TE BF'!$AB$38+'TE CVA'!$AB$38)*1*(1-0.03)</f>
        <v>118.90878875575021</v>
      </c>
      <c r="AB126" s="53">
        <f>(SUBSIDIO!$J$126*SUBSIDIO!$V$126)*(0.06)/(1-0.06)</f>
        <v>0</v>
      </c>
      <c r="AC126" s="53">
        <f>((SUBSIDIO!$L$126*SUBSIDIO!$W$126)+(SUBSIDIO!$N$126*SUBSIDIO!$X$126))*(0.06)/(1-0.06)</f>
        <v>192.42017819999995</v>
      </c>
      <c r="AD126" s="53">
        <f>(SUBSIDIO!$J$126*SUBSIDIO!$Y$126)*(0.03)/(1-0.03)</f>
        <v>0</v>
      </c>
      <c r="AE126" s="53">
        <f ca="1">((SUBSIDIO!$L$126*SUBSIDIO!$Z$126)+(SUBSIDIO!$N$126*SUBSIDIO!$AA$126))*(0.03)/(1-0.03)</f>
        <v>103.24051726322723</v>
      </c>
      <c r="AF126" s="4" t="s">
        <v>624</v>
      </c>
    </row>
    <row r="127" spans="1:32" ht="11.25" customHeight="1" x14ac:dyDescent="0.3">
      <c r="A127" s="4" t="s">
        <v>21</v>
      </c>
      <c r="B127" s="4" t="s">
        <v>33</v>
      </c>
      <c r="C127" s="4" t="s">
        <v>23</v>
      </c>
      <c r="D127" s="4" t="s">
        <v>48</v>
      </c>
      <c r="E127" s="4" t="s">
        <v>49</v>
      </c>
      <c r="F127" s="4" t="s">
        <v>25</v>
      </c>
      <c r="G127" s="4" t="s">
        <v>25</v>
      </c>
      <c r="H127" s="4" t="s">
        <v>25</v>
      </c>
      <c r="I127" s="5">
        <v>44562</v>
      </c>
      <c r="J127" s="6">
        <v>0</v>
      </c>
      <c r="K127" s="53">
        <v>0</v>
      </c>
      <c r="L127" s="6">
        <v>4.9820000000000002</v>
      </c>
      <c r="M127" s="53">
        <v>4.9820000000000002</v>
      </c>
      <c r="N127" s="6">
        <v>4.9820000000000002</v>
      </c>
      <c r="O127" s="53">
        <v>4.9820000000000002</v>
      </c>
      <c r="P127" s="6">
        <v>7</v>
      </c>
      <c r="Q127" s="4" t="s">
        <v>26</v>
      </c>
      <c r="R127" s="4">
        <v>0</v>
      </c>
      <c r="S127" s="4">
        <v>0</v>
      </c>
      <c r="T127" s="4">
        <v>28</v>
      </c>
      <c r="U127" s="4">
        <v>76</v>
      </c>
      <c r="V127" s="53">
        <f>IF(ISERROR(VLOOKUP($S$127,'TAR FIN'!$A$1:$O$85,15,0)),0,VLOOKUP($S$127,'TAR FIN'!$A$1:$O$85,15,0))</f>
        <v>0</v>
      </c>
      <c r="W127" s="53">
        <f>IF(ISERROR(VLOOKUP($T$127,'TAR FIN'!$A$1:$O$85,15,0)),0,VLOOKUP($T$127,'TAR FIN'!$A$1:$O$85,15,0))*(1-0.06)</f>
        <v>572.51639999999986</v>
      </c>
      <c r="X127" s="53">
        <f>IF(ISERROR(VLOOKUP($U$127,'TAR FIN'!$A$1:$O$85,15,0)),0,VLOOKUP($U$127,'TAR FIN'!$A$1:$O$85,15,0))*(1-0.06)</f>
        <v>112.7718</v>
      </c>
      <c r="Y127" s="53"/>
      <c r="Z127" s="53">
        <f ca="1">('TUSD BE'!$AM$48+'TUSD BF'!$AM$48+'TUSD CVA'!$AM$48)*1*(1-0.03)</f>
        <v>639.92505033897157</v>
      </c>
      <c r="AA127" s="53">
        <f>('TE BE'!$AB$38+'TE BF'!$AB$38+'TE CVA'!$AB$38)*1*(1-0.03)</f>
        <v>118.90878875575021</v>
      </c>
      <c r="AB127" s="53">
        <f>(SUBSIDIO!$J$127*SUBSIDIO!$V$127)*(0.06)/(1-0.06)</f>
        <v>0</v>
      </c>
      <c r="AC127" s="53">
        <f>((SUBSIDIO!$L$127*SUBSIDIO!$W$127)+(SUBSIDIO!$N$127*SUBSIDIO!$X$127))*(0.06)/(1-0.06)</f>
        <v>217.9216476</v>
      </c>
      <c r="AD127" s="53">
        <f>(SUBSIDIO!$J$127*SUBSIDIO!$Y$127)*(0.03)/(1-0.03)</f>
        <v>0</v>
      </c>
      <c r="AE127" s="53">
        <f ca="1">((SUBSIDIO!$L$127*SUBSIDIO!$Z$127)+(SUBSIDIO!$N$127*SUBSIDIO!$AA$127))*(0.03)/(1-0.03)</f>
        <v>116.92299545473931</v>
      </c>
      <c r="AF127" s="4" t="s">
        <v>624</v>
      </c>
    </row>
    <row r="128" spans="1:32" ht="11.25" customHeight="1" x14ac:dyDescent="0.3">
      <c r="A128" s="4" t="s">
        <v>21</v>
      </c>
      <c r="B128" s="4" t="s">
        <v>33</v>
      </c>
      <c r="C128" s="4" t="s">
        <v>23</v>
      </c>
      <c r="D128" s="4" t="s">
        <v>48</v>
      </c>
      <c r="E128" s="4" t="s">
        <v>49</v>
      </c>
      <c r="F128" s="4" t="s">
        <v>25</v>
      </c>
      <c r="G128" s="4" t="s">
        <v>25</v>
      </c>
      <c r="H128" s="4" t="s">
        <v>25</v>
      </c>
      <c r="I128" s="5">
        <v>44593</v>
      </c>
      <c r="J128" s="6">
        <v>0</v>
      </c>
      <c r="K128" s="53">
        <v>0</v>
      </c>
      <c r="L128" s="6">
        <v>5.7190000000000003</v>
      </c>
      <c r="M128" s="53">
        <v>5.7190000000000003</v>
      </c>
      <c r="N128" s="6">
        <v>5.7190000000000003</v>
      </c>
      <c r="O128" s="53">
        <v>5.7190000000000003</v>
      </c>
      <c r="P128" s="6">
        <v>7</v>
      </c>
      <c r="Q128" s="4" t="s">
        <v>26</v>
      </c>
      <c r="R128" s="4">
        <v>0</v>
      </c>
      <c r="S128" s="4">
        <v>0</v>
      </c>
      <c r="T128" s="4">
        <v>28</v>
      </c>
      <c r="U128" s="4">
        <v>76</v>
      </c>
      <c r="V128" s="53">
        <f>IF(ISERROR(VLOOKUP($S$128,'TAR FIN'!$A$1:$O$85,15,0)),0,VLOOKUP($S$128,'TAR FIN'!$A$1:$O$85,15,0))</f>
        <v>0</v>
      </c>
      <c r="W128" s="53">
        <f>IF(ISERROR(VLOOKUP($T$128,'TAR FIN'!$A$1:$O$85,15,0)),0,VLOOKUP($T$128,'TAR FIN'!$A$1:$O$85,15,0))*(1-0.06)</f>
        <v>572.51639999999986</v>
      </c>
      <c r="X128" s="53">
        <f>IF(ISERROR(VLOOKUP($U$128,'TAR FIN'!$A$1:$O$85,15,0)),0,VLOOKUP($U$128,'TAR FIN'!$A$1:$O$85,15,0))*(1-0.06)</f>
        <v>112.7718</v>
      </c>
      <c r="Y128" s="53"/>
      <c r="Z128" s="53">
        <f ca="1">('TUSD BE'!$AM$48+'TUSD BF'!$AM$48+'TUSD CVA'!$AM$48)*1*(1-0.03)</f>
        <v>639.92505033897157</v>
      </c>
      <c r="AA128" s="53">
        <f>('TE BE'!$AB$38+'TE BF'!$AB$38+'TE CVA'!$AB$38)*1*(1-0.03)</f>
        <v>118.90878875575021</v>
      </c>
      <c r="AB128" s="53">
        <f>(SUBSIDIO!$J$128*SUBSIDIO!$V$128)*(0.06)/(1-0.06)</f>
        <v>0</v>
      </c>
      <c r="AC128" s="53">
        <f>((SUBSIDIO!$L$128*SUBSIDIO!$W$128)+(SUBSIDIO!$N$128*SUBSIDIO!$X$128))*(0.06)/(1-0.06)</f>
        <v>250.15935419999994</v>
      </c>
      <c r="AD128" s="53">
        <f>(SUBSIDIO!$J$128*SUBSIDIO!$Y$128)*(0.03)/(1-0.03)</f>
        <v>0</v>
      </c>
      <c r="AE128" s="53">
        <f ca="1">((SUBSIDIO!$L$128*SUBSIDIO!$Z$128)+(SUBSIDIO!$N$128*SUBSIDIO!$AA$128))*(0.03)/(1-0.03)</f>
        <v>134.21971316853754</v>
      </c>
      <c r="AF128" s="4" t="s">
        <v>624</v>
      </c>
    </row>
    <row r="129" spans="1:32" ht="11.25" customHeight="1" x14ac:dyDescent="0.3">
      <c r="A129" s="4" t="s">
        <v>21</v>
      </c>
      <c r="B129" s="4" t="s">
        <v>33</v>
      </c>
      <c r="C129" s="4" t="s">
        <v>23</v>
      </c>
      <c r="D129" s="4" t="s">
        <v>48</v>
      </c>
      <c r="E129" s="4" t="s">
        <v>49</v>
      </c>
      <c r="F129" s="4" t="s">
        <v>25</v>
      </c>
      <c r="G129" s="4" t="s">
        <v>25</v>
      </c>
      <c r="H129" s="4" t="s">
        <v>25</v>
      </c>
      <c r="I129" s="5">
        <v>44621</v>
      </c>
      <c r="J129" s="6">
        <v>0</v>
      </c>
      <c r="K129" s="53">
        <v>0</v>
      </c>
      <c r="L129" s="6">
        <v>5.2949999999999999</v>
      </c>
      <c r="M129" s="53">
        <v>5.2949999999999999</v>
      </c>
      <c r="N129" s="6">
        <v>5.2949999999999999</v>
      </c>
      <c r="O129" s="53">
        <v>5.2949999999999999</v>
      </c>
      <c r="P129" s="6">
        <v>7</v>
      </c>
      <c r="Q129" s="4" t="s">
        <v>26</v>
      </c>
      <c r="R129" s="4">
        <v>0</v>
      </c>
      <c r="S129" s="4">
        <v>0</v>
      </c>
      <c r="T129" s="4">
        <v>28</v>
      </c>
      <c r="U129" s="4">
        <v>76</v>
      </c>
      <c r="V129" s="53">
        <f>IF(ISERROR(VLOOKUP($S$129,'TAR FIN'!$A$1:$O$85,15,0)),0,VLOOKUP($S$129,'TAR FIN'!$A$1:$O$85,15,0))</f>
        <v>0</v>
      </c>
      <c r="W129" s="53">
        <f>IF(ISERROR(VLOOKUP($T$129,'TAR FIN'!$A$1:$O$85,15,0)),0,VLOOKUP($T$129,'TAR FIN'!$A$1:$O$85,15,0))*(1-0.06)</f>
        <v>572.51639999999986</v>
      </c>
      <c r="X129" s="53">
        <f>IF(ISERROR(VLOOKUP($U$129,'TAR FIN'!$A$1:$O$85,15,0)),0,VLOOKUP($U$129,'TAR FIN'!$A$1:$O$85,15,0))*(1-0.06)</f>
        <v>112.7718</v>
      </c>
      <c r="Y129" s="53"/>
      <c r="Z129" s="53">
        <f ca="1">('TUSD BE'!$AM$48+'TUSD BF'!$AM$48+'TUSD CVA'!$AM$48)*1*(1-0.03)</f>
        <v>639.92505033897157</v>
      </c>
      <c r="AA129" s="53">
        <f>('TE BE'!$AB$38+'TE BF'!$AB$38+'TE CVA'!$AB$38)*1*(1-0.03)</f>
        <v>118.90878875575021</v>
      </c>
      <c r="AB129" s="53">
        <f>(SUBSIDIO!$J$129*SUBSIDIO!$V$129)*(0.06)/(1-0.06)</f>
        <v>0</v>
      </c>
      <c r="AC129" s="53">
        <f>((SUBSIDIO!$L$129*SUBSIDIO!$W$129)+(SUBSIDIO!$N$129*SUBSIDIO!$X$129))*(0.06)/(1-0.06)</f>
        <v>231.61283099999991</v>
      </c>
      <c r="AD129" s="53">
        <f>(SUBSIDIO!$J$129*SUBSIDIO!$Y$129)*(0.03)/(1-0.03)</f>
        <v>0</v>
      </c>
      <c r="AE129" s="53">
        <f ca="1">((SUBSIDIO!$L$129*SUBSIDIO!$Z$129)+(SUBSIDIO!$N$129*SUBSIDIO!$AA$129))*(0.03)/(1-0.03)</f>
        <v>124.26881993834697</v>
      </c>
      <c r="AF129" s="4" t="s">
        <v>624</v>
      </c>
    </row>
    <row r="130" spans="1:32" ht="11.25" customHeight="1" x14ac:dyDescent="0.3">
      <c r="A130" s="4" t="s">
        <v>21</v>
      </c>
      <c r="B130" s="4" t="s">
        <v>33</v>
      </c>
      <c r="C130" s="4" t="s">
        <v>23</v>
      </c>
      <c r="D130" s="4" t="s">
        <v>48</v>
      </c>
      <c r="E130" s="4" t="s">
        <v>49</v>
      </c>
      <c r="F130" s="4" t="s">
        <v>25</v>
      </c>
      <c r="G130" s="4" t="s">
        <v>25</v>
      </c>
      <c r="H130" s="4" t="s">
        <v>25</v>
      </c>
      <c r="I130" s="5">
        <v>44652</v>
      </c>
      <c r="J130" s="6">
        <v>0</v>
      </c>
      <c r="K130" s="53">
        <v>0</v>
      </c>
      <c r="L130" s="6">
        <v>4.95</v>
      </c>
      <c r="M130" s="53">
        <v>4.95</v>
      </c>
      <c r="N130" s="6">
        <v>4.95</v>
      </c>
      <c r="O130" s="53">
        <v>4.95</v>
      </c>
      <c r="P130" s="6">
        <v>7</v>
      </c>
      <c r="Q130" s="4" t="s">
        <v>26</v>
      </c>
      <c r="R130" s="4">
        <v>0</v>
      </c>
      <c r="S130" s="4">
        <v>0</v>
      </c>
      <c r="T130" s="4">
        <v>28</v>
      </c>
      <c r="U130" s="4">
        <v>76</v>
      </c>
      <c r="V130" s="53">
        <f>IF(ISERROR(VLOOKUP($S$130,'TAR FIN'!$A$1:$O$85,15,0)),0,VLOOKUP($S$130,'TAR FIN'!$A$1:$O$85,15,0))</f>
        <v>0</v>
      </c>
      <c r="W130" s="53">
        <f>IF(ISERROR(VLOOKUP($T$130,'TAR FIN'!$A$1:$O$85,15,0)),0,VLOOKUP($T$130,'TAR FIN'!$A$1:$O$85,15,0))*(1-0.06)</f>
        <v>572.51639999999986</v>
      </c>
      <c r="X130" s="53">
        <f>IF(ISERROR(VLOOKUP($U$130,'TAR FIN'!$A$1:$O$85,15,0)),0,VLOOKUP($U$130,'TAR FIN'!$A$1:$O$85,15,0))*(1-0.06)</f>
        <v>112.7718</v>
      </c>
      <c r="Y130" s="53"/>
      <c r="Z130" s="53">
        <f ca="1">('TUSD BE'!$AM$48+'TUSD BF'!$AM$48+'TUSD CVA'!$AM$48)*1*(1-0.03)</f>
        <v>639.92505033897157</v>
      </c>
      <c r="AA130" s="53">
        <f>('TE BE'!$AB$38+'TE BF'!$AB$38+'TE CVA'!$AB$38)*1*(1-0.03)</f>
        <v>118.90878875575021</v>
      </c>
      <c r="AB130" s="53">
        <f>(SUBSIDIO!$J$130*SUBSIDIO!$V$130)*(0.06)/(1-0.06)</f>
        <v>0</v>
      </c>
      <c r="AC130" s="53">
        <f>((SUBSIDIO!$L$130*SUBSIDIO!$W$130)+(SUBSIDIO!$N$130*SUBSIDIO!$X$130))*(0.06)/(1-0.06)</f>
        <v>216.52190999999996</v>
      </c>
      <c r="AD130" s="53">
        <f>(SUBSIDIO!$J$130*SUBSIDIO!$Y$130)*(0.03)/(1-0.03)</f>
        <v>0</v>
      </c>
      <c r="AE130" s="53">
        <f ca="1">((SUBSIDIO!$L$130*SUBSIDIO!$Z$130)+(SUBSIDIO!$N$130*SUBSIDIO!$AA$130))*(0.03)/(1-0.03)</f>
        <v>116.17198464491359</v>
      </c>
      <c r="AF130" s="4" t="s">
        <v>624</v>
      </c>
    </row>
    <row r="131" spans="1:32" ht="11.25" customHeight="1" x14ac:dyDescent="0.3">
      <c r="A131" s="4" t="s">
        <v>21</v>
      </c>
      <c r="B131" s="4" t="s">
        <v>33</v>
      </c>
      <c r="C131" s="4" t="s">
        <v>23</v>
      </c>
      <c r="D131" s="4" t="s">
        <v>48</v>
      </c>
      <c r="E131" s="4" t="s">
        <v>49</v>
      </c>
      <c r="F131" s="4" t="s">
        <v>25</v>
      </c>
      <c r="G131" s="4" t="s">
        <v>25</v>
      </c>
      <c r="H131" s="4" t="s">
        <v>25</v>
      </c>
      <c r="I131" s="5">
        <v>44682</v>
      </c>
      <c r="J131" s="6">
        <v>0</v>
      </c>
      <c r="K131" s="53">
        <v>0</v>
      </c>
      <c r="L131" s="6">
        <v>4.4809999999999999</v>
      </c>
      <c r="M131" s="53">
        <v>4.4809999999999999</v>
      </c>
      <c r="N131" s="6">
        <v>4.4809999999999999</v>
      </c>
      <c r="O131" s="53">
        <v>4.4809999999999999</v>
      </c>
      <c r="P131" s="6">
        <v>7</v>
      </c>
      <c r="Q131" s="4" t="s">
        <v>26</v>
      </c>
      <c r="R131" s="4">
        <v>0</v>
      </c>
      <c r="S131" s="4">
        <v>0</v>
      </c>
      <c r="T131" s="4">
        <v>28</v>
      </c>
      <c r="U131" s="4">
        <v>76</v>
      </c>
      <c r="V131" s="53">
        <f>IF(ISERROR(VLOOKUP($S$131,'TAR FIN'!$A$1:$O$85,15,0)),0,VLOOKUP($S$131,'TAR FIN'!$A$1:$O$85,15,0))</f>
        <v>0</v>
      </c>
      <c r="W131" s="53">
        <f>IF(ISERROR(VLOOKUP($T$131,'TAR FIN'!$A$1:$O$85,15,0)),0,VLOOKUP($T$131,'TAR FIN'!$A$1:$O$85,15,0))*(1-0.06)</f>
        <v>572.51639999999986</v>
      </c>
      <c r="X131" s="53">
        <f>IF(ISERROR(VLOOKUP($U$131,'TAR FIN'!$A$1:$O$85,15,0)),0,VLOOKUP($U$131,'TAR FIN'!$A$1:$O$85,15,0))*(1-0.06)</f>
        <v>112.7718</v>
      </c>
      <c r="Y131" s="53"/>
      <c r="Z131" s="53">
        <f ca="1">('TUSD BE'!$AM$48+'TUSD BF'!$AM$48+'TUSD CVA'!$AM$48)*1*(1-0.03)</f>
        <v>639.92505033897157</v>
      </c>
      <c r="AA131" s="53">
        <f>('TE BE'!$AB$38+'TE BF'!$AB$38+'TE CVA'!$AB$38)*1*(1-0.03)</f>
        <v>118.90878875575021</v>
      </c>
      <c r="AB131" s="53">
        <f>(SUBSIDIO!$J$131*SUBSIDIO!$V$131)*(0.06)/(1-0.06)</f>
        <v>0</v>
      </c>
      <c r="AC131" s="53">
        <f>((SUBSIDIO!$L$131*SUBSIDIO!$W$131)+(SUBSIDIO!$N$131*SUBSIDIO!$X$131))*(0.06)/(1-0.06)</f>
        <v>196.00700579999994</v>
      </c>
      <c r="AD131" s="53">
        <f>(SUBSIDIO!$J$131*SUBSIDIO!$Y$131)*(0.03)/(1-0.03)</f>
        <v>0</v>
      </c>
      <c r="AE131" s="53">
        <f ca="1">((SUBSIDIO!$L$131*SUBSIDIO!$Z$131)+(SUBSIDIO!$N$131*SUBSIDIO!$AA$131))*(0.03)/(1-0.03)</f>
        <v>105.16498246340562</v>
      </c>
      <c r="AF131" s="4" t="s">
        <v>624</v>
      </c>
    </row>
    <row r="132" spans="1:32" ht="11.25" customHeight="1" x14ac:dyDescent="0.3">
      <c r="A132" s="4" t="s">
        <v>21</v>
      </c>
      <c r="B132" s="4" t="s">
        <v>33</v>
      </c>
      <c r="C132" s="4" t="s">
        <v>23</v>
      </c>
      <c r="D132" s="4" t="s">
        <v>48</v>
      </c>
      <c r="E132" s="4" t="s">
        <v>49</v>
      </c>
      <c r="F132" s="4" t="s">
        <v>25</v>
      </c>
      <c r="G132" s="4" t="s">
        <v>25</v>
      </c>
      <c r="H132" s="4" t="s">
        <v>25</v>
      </c>
      <c r="I132" s="5">
        <v>44713</v>
      </c>
      <c r="J132" s="6">
        <v>0</v>
      </c>
      <c r="K132" s="53">
        <v>0</v>
      </c>
      <c r="L132" s="6">
        <v>6.141</v>
      </c>
      <c r="M132" s="53">
        <v>6.141</v>
      </c>
      <c r="N132" s="6">
        <v>6.141</v>
      </c>
      <c r="O132" s="53">
        <v>6.141</v>
      </c>
      <c r="P132" s="6">
        <v>7</v>
      </c>
      <c r="Q132" s="4" t="s">
        <v>26</v>
      </c>
      <c r="R132" s="4">
        <v>0</v>
      </c>
      <c r="S132" s="4">
        <v>0</v>
      </c>
      <c r="T132" s="4">
        <v>28</v>
      </c>
      <c r="U132" s="4">
        <v>76</v>
      </c>
      <c r="V132" s="53">
        <f>IF(ISERROR(VLOOKUP($S$132,'TAR FIN'!$A$1:$O$85,15,0)),0,VLOOKUP($S$132,'TAR FIN'!$A$1:$O$85,15,0))</f>
        <v>0</v>
      </c>
      <c r="W132" s="53">
        <f>IF(ISERROR(VLOOKUP($T$132,'TAR FIN'!$A$1:$O$85,15,0)),0,VLOOKUP($T$132,'TAR FIN'!$A$1:$O$85,15,0))*(1-0.06)</f>
        <v>572.51639999999986</v>
      </c>
      <c r="X132" s="53">
        <f>IF(ISERROR(VLOOKUP($U$132,'TAR FIN'!$A$1:$O$85,15,0)),0,VLOOKUP($U$132,'TAR FIN'!$A$1:$O$85,15,0))*(1-0.06)</f>
        <v>112.7718</v>
      </c>
      <c r="Y132" s="53"/>
      <c r="Z132" s="53">
        <f ca="1">('TUSD BE'!$AM$48+'TUSD BF'!$AM$48+'TUSD CVA'!$AM$48)*1*(1-0.03)</f>
        <v>639.92505033897157</v>
      </c>
      <c r="AA132" s="53">
        <f>('TE BE'!$AB$38+'TE BF'!$AB$38+'TE CVA'!$AB$38)*1*(1-0.03)</f>
        <v>118.90878875575021</v>
      </c>
      <c r="AB132" s="53">
        <f>(SUBSIDIO!$J$132*SUBSIDIO!$V$132)*(0.06)/(1-0.06)</f>
        <v>0</v>
      </c>
      <c r="AC132" s="53">
        <f>((SUBSIDIO!$L$132*SUBSIDIO!$W$132)+(SUBSIDIO!$N$132*SUBSIDIO!$X$132))*(0.06)/(1-0.06)</f>
        <v>268.61839379999998</v>
      </c>
      <c r="AD132" s="53">
        <f>(SUBSIDIO!$J$132*SUBSIDIO!$Y$132)*(0.03)/(1-0.03)</f>
        <v>0</v>
      </c>
      <c r="AE132" s="53">
        <f ca="1">((SUBSIDIO!$L$132*SUBSIDIO!$Z$132)+(SUBSIDIO!$N$132*SUBSIDIO!$AA$132))*(0.03)/(1-0.03)</f>
        <v>144.12366822311401</v>
      </c>
      <c r="AF132" s="4" t="s">
        <v>624</v>
      </c>
    </row>
    <row r="133" spans="1:32" ht="11.25" customHeight="1" x14ac:dyDescent="0.3">
      <c r="A133" s="4" t="s">
        <v>21</v>
      </c>
      <c r="B133" s="4" t="s">
        <v>33</v>
      </c>
      <c r="C133" s="4" t="s">
        <v>23</v>
      </c>
      <c r="D133" s="4" t="s">
        <v>48</v>
      </c>
      <c r="E133" s="4" t="s">
        <v>49</v>
      </c>
      <c r="F133" s="4" t="s">
        <v>25</v>
      </c>
      <c r="G133" s="4" t="s">
        <v>25</v>
      </c>
      <c r="H133" s="4" t="s">
        <v>25</v>
      </c>
      <c r="I133" s="5">
        <v>44743</v>
      </c>
      <c r="J133" s="6">
        <v>0</v>
      </c>
      <c r="K133" s="53">
        <v>0</v>
      </c>
      <c r="L133" s="6">
        <v>5.5609999999999999</v>
      </c>
      <c r="M133" s="53">
        <v>5.5609999999999999</v>
      </c>
      <c r="N133" s="6">
        <v>5.5609999999999999</v>
      </c>
      <c r="O133" s="53">
        <v>5.5609999999999999</v>
      </c>
      <c r="P133" s="6">
        <v>7</v>
      </c>
      <c r="Q133" s="4" t="s">
        <v>26</v>
      </c>
      <c r="R133" s="4">
        <v>0</v>
      </c>
      <c r="S133" s="4">
        <v>0</v>
      </c>
      <c r="T133" s="4">
        <v>28</v>
      </c>
      <c r="U133" s="4">
        <v>76</v>
      </c>
      <c r="V133" s="53">
        <f>IF(ISERROR(VLOOKUP($S$133,'TAR FIN'!$A$1:$O$85,15,0)),0,VLOOKUP($S$133,'TAR FIN'!$A$1:$O$85,15,0))</f>
        <v>0</v>
      </c>
      <c r="W133" s="53">
        <f>IF(ISERROR(VLOOKUP($T$133,'TAR FIN'!$A$1:$O$85,15,0)),0,VLOOKUP($T$133,'TAR FIN'!$A$1:$O$85,15,0))*(1-0.06)</f>
        <v>572.51639999999986</v>
      </c>
      <c r="X133" s="53">
        <f>IF(ISERROR(VLOOKUP($U$133,'TAR FIN'!$A$1:$O$85,15,0)),0,VLOOKUP($U$133,'TAR FIN'!$A$1:$O$85,15,0))*(1-0.06)</f>
        <v>112.7718</v>
      </c>
      <c r="Y133" s="53"/>
      <c r="Z133" s="53">
        <f ca="1">('TUSD BE'!$AM$48+'TUSD BF'!$AM$48+'TUSD CVA'!$AM$48)*1*(1-0.03)</f>
        <v>639.92505033897157</v>
      </c>
      <c r="AA133" s="53">
        <f>('TE BE'!$AB$38+'TE BF'!$AB$38+'TE CVA'!$AB$38)*1*(1-0.03)</f>
        <v>118.90878875575021</v>
      </c>
      <c r="AB133" s="53">
        <f>(SUBSIDIO!$J$133*SUBSIDIO!$V$133)*(0.06)/(1-0.06)</f>
        <v>0</v>
      </c>
      <c r="AC133" s="53">
        <f>((SUBSIDIO!$L$133*SUBSIDIO!$W$133)+(SUBSIDIO!$N$133*SUBSIDIO!$X$133))*(0.06)/(1-0.06)</f>
        <v>243.24814979999996</v>
      </c>
      <c r="AD133" s="53">
        <f>(SUBSIDIO!$J$133*SUBSIDIO!$Y$133)*(0.03)/(1-0.03)</f>
        <v>0</v>
      </c>
      <c r="AE133" s="53">
        <f ca="1">((SUBSIDIO!$L$133*SUBSIDIO!$Z$133)+(SUBSIDIO!$N$133*SUBSIDIO!$AA$133))*(0.03)/(1-0.03)</f>
        <v>130.51159729502314</v>
      </c>
      <c r="AF133" s="4" t="s">
        <v>624</v>
      </c>
    </row>
    <row r="134" spans="1:32" ht="11.25" customHeight="1" x14ac:dyDescent="0.3">
      <c r="A134" s="4" t="s">
        <v>52</v>
      </c>
      <c r="B134" s="4" t="s">
        <v>33</v>
      </c>
      <c r="C134" s="4" t="s">
        <v>23</v>
      </c>
      <c r="D134" s="4" t="s">
        <v>48</v>
      </c>
      <c r="E134" s="4" t="s">
        <v>49</v>
      </c>
      <c r="F134" s="4" t="s">
        <v>25</v>
      </c>
      <c r="G134" s="4" t="s">
        <v>25</v>
      </c>
      <c r="H134" s="4" t="s">
        <v>25</v>
      </c>
      <c r="I134" s="5">
        <v>44774</v>
      </c>
      <c r="J134" s="6">
        <v>0</v>
      </c>
      <c r="K134" s="53">
        <v>0</v>
      </c>
      <c r="L134" s="6">
        <v>5.5609999999999999</v>
      </c>
      <c r="M134" s="53">
        <v>5.5609999999999999</v>
      </c>
      <c r="N134" s="6">
        <v>5.5609999999999999</v>
      </c>
      <c r="O134" s="53">
        <v>5.5609999999999999</v>
      </c>
      <c r="P134" s="6">
        <v>7</v>
      </c>
      <c r="Q134" s="4" t="s">
        <v>26</v>
      </c>
      <c r="R134" s="4">
        <v>0</v>
      </c>
      <c r="S134" s="4">
        <v>0</v>
      </c>
      <c r="T134" s="4">
        <v>28</v>
      </c>
      <c r="U134" s="4">
        <v>76</v>
      </c>
      <c r="V134" s="53">
        <f>IF(ISERROR(VLOOKUP($S$134,'TAR FIN'!$A$1:$O$85,15,0)),0,VLOOKUP($S$134,'TAR FIN'!$A$1:$O$85,15,0))</f>
        <v>0</v>
      </c>
      <c r="W134" s="53">
        <f>IF(ISERROR(VLOOKUP($T$134,'TAR FIN'!$A$1:$O$85,15,0)),0,VLOOKUP($T$134,'TAR FIN'!$A$1:$O$85,15,0))*(1-0.06)</f>
        <v>572.51639999999986</v>
      </c>
      <c r="X134" s="53">
        <f>IF(ISERROR(VLOOKUP($U$134,'TAR FIN'!$A$1:$O$85,15,0)),0,VLOOKUP($U$134,'TAR FIN'!$A$1:$O$85,15,0))*(1-0.06)</f>
        <v>112.7718</v>
      </c>
      <c r="Y134" s="53"/>
      <c r="Z134" s="53">
        <f ca="1">('TUSD BE'!$AM$48+'TUSD BF'!$AM$48+'TUSD CVA'!$AM$48)*1*(1-0.03)</f>
        <v>639.92505033897157</v>
      </c>
      <c r="AA134" s="53">
        <f>('TE BE'!$AB$38+'TE BF'!$AB$38+'TE CVA'!$AB$38)*1*(1-0.03)</f>
        <v>118.90878875575021</v>
      </c>
      <c r="AB134" s="53">
        <f>(SUBSIDIO!$J$134*SUBSIDIO!$V$134)*(0.06)/(1-0.06)</f>
        <v>0</v>
      </c>
      <c r="AC134" s="53">
        <f>((SUBSIDIO!$L$134*SUBSIDIO!$W$134)+(SUBSIDIO!$N$134*SUBSIDIO!$X$134))*(0.06)/(1-0.06)</f>
        <v>243.24814979999996</v>
      </c>
      <c r="AD134" s="53">
        <f>(SUBSIDIO!$J$134*SUBSIDIO!$Y$134)*(0.03)/(1-0.03)</f>
        <v>0</v>
      </c>
      <c r="AE134" s="53">
        <f ca="1">((SUBSIDIO!$L$134*SUBSIDIO!$Z$134)+(SUBSIDIO!$N$134*SUBSIDIO!$AA$134))*(0.03)/(1-0.03)</f>
        <v>130.51159729502314</v>
      </c>
      <c r="AF134" s="4" t="s">
        <v>624</v>
      </c>
    </row>
    <row r="135" spans="1:32" ht="11.25" customHeight="1" x14ac:dyDescent="0.3">
      <c r="V135" s="6"/>
      <c r="W135" s="6"/>
      <c r="X135" s="6"/>
      <c r="Y135" s="6"/>
      <c r="Z135" s="6"/>
      <c r="AA135" s="6"/>
      <c r="AB135" s="6"/>
      <c r="AC135" s="6"/>
      <c r="AD135" s="6"/>
      <c r="AE135" s="6"/>
    </row>
    <row r="136" spans="1:32" ht="11.25" customHeight="1" x14ac:dyDescent="0.3">
      <c r="V136" s="6"/>
      <c r="W136" s="6"/>
      <c r="X136" s="6"/>
      <c r="Y136" s="6"/>
      <c r="Z136" s="6"/>
      <c r="AA136" s="6"/>
      <c r="AB136" s="6"/>
      <c r="AC136" s="6"/>
      <c r="AD136" s="6"/>
      <c r="AE136" s="6"/>
    </row>
    <row r="137" spans="1:32" ht="11.25" customHeight="1" x14ac:dyDescent="0.3">
      <c r="V137" s="6"/>
      <c r="W137" s="6"/>
      <c r="X137" s="6"/>
      <c r="Y137" s="6"/>
      <c r="Z137" s="6"/>
      <c r="AA137" s="6"/>
      <c r="AB137" s="6"/>
      <c r="AC137" s="6"/>
      <c r="AD137" s="6"/>
      <c r="AE137" s="6"/>
    </row>
    <row r="138" spans="1:32" ht="11.25" customHeight="1" x14ac:dyDescent="0.3">
      <c r="V138" s="6"/>
      <c r="W138" s="6"/>
      <c r="X138" s="6"/>
      <c r="Y138" s="6"/>
      <c r="Z138" s="6"/>
      <c r="AA138" s="6"/>
      <c r="AB138" s="6"/>
      <c r="AC138" s="6"/>
      <c r="AD138" s="6"/>
      <c r="AE138" s="6"/>
    </row>
    <row r="139" spans="1:32" ht="11.25" customHeight="1" x14ac:dyDescent="0.3">
      <c r="V139" s="6"/>
      <c r="W139" s="6"/>
      <c r="X139" s="6"/>
      <c r="Y139" s="6"/>
      <c r="Z139" s="6"/>
      <c r="AA139" s="6"/>
      <c r="AB139" s="6"/>
      <c r="AC139" s="6"/>
      <c r="AD139" s="6"/>
      <c r="AE139" s="6"/>
    </row>
    <row r="140" spans="1:32" ht="11.25" customHeight="1" x14ac:dyDescent="0.3">
      <c r="V140" s="6"/>
      <c r="W140" s="6"/>
      <c r="X140" s="6"/>
      <c r="Y140" s="6"/>
      <c r="Z140" s="6"/>
      <c r="AA140" s="6"/>
      <c r="AB140" s="6"/>
      <c r="AC140" s="6"/>
      <c r="AD140" s="6"/>
      <c r="AE140" s="6"/>
    </row>
    <row r="141" spans="1:32" ht="11.25" customHeight="1" x14ac:dyDescent="0.3">
      <c r="V141" s="6"/>
      <c r="W141" s="6"/>
      <c r="X141" s="6"/>
      <c r="Y141" s="6"/>
      <c r="Z141" s="6"/>
      <c r="AA141" s="6"/>
      <c r="AB141" s="6"/>
      <c r="AC141" s="6"/>
      <c r="AD141" s="6"/>
      <c r="AE141" s="6"/>
    </row>
    <row r="142" spans="1:32" ht="11.25" customHeight="1" x14ac:dyDescent="0.3">
      <c r="V142" s="6"/>
      <c r="W142" s="6"/>
      <c r="X142" s="6"/>
      <c r="Y142" s="6"/>
      <c r="Z142" s="6"/>
      <c r="AA142" s="6"/>
      <c r="AB142" s="6"/>
      <c r="AC142" s="6"/>
      <c r="AD142" s="6"/>
      <c r="AE142" s="6"/>
    </row>
    <row r="143" spans="1:32" ht="11.25" customHeight="1" x14ac:dyDescent="0.3">
      <c r="V143" s="6"/>
      <c r="W143" s="6"/>
      <c r="X143" s="6"/>
      <c r="Y143" s="6"/>
      <c r="Z143" s="6"/>
      <c r="AA143" s="6"/>
      <c r="AB143" s="6"/>
      <c r="AC143" s="6"/>
      <c r="AD143" s="6"/>
      <c r="AE143" s="6"/>
    </row>
    <row r="144" spans="1:32" ht="11.25" customHeight="1" x14ac:dyDescent="0.3">
      <c r="V144" s="6"/>
      <c r="W144" s="6"/>
      <c r="X144" s="6"/>
      <c r="Y144" s="6"/>
      <c r="Z144" s="6"/>
      <c r="AA144" s="6"/>
      <c r="AB144" s="6"/>
      <c r="AC144" s="6"/>
      <c r="AD144" s="6"/>
      <c r="AE144" s="6"/>
    </row>
    <row r="145" spans="22:31" ht="11.25" customHeight="1" x14ac:dyDescent="0.3">
      <c r="V145" s="6"/>
      <c r="W145" s="6"/>
      <c r="X145" s="6"/>
      <c r="Y145" s="6"/>
      <c r="Z145" s="6"/>
      <c r="AA145" s="6"/>
      <c r="AB145" s="6"/>
      <c r="AC145" s="6"/>
      <c r="AD145" s="6"/>
      <c r="AE145" s="6"/>
    </row>
    <row r="146" spans="22:31" ht="11.25" customHeight="1" x14ac:dyDescent="0.3">
      <c r="V146" s="6"/>
      <c r="W146" s="6"/>
      <c r="X146" s="6"/>
      <c r="Y146" s="6"/>
      <c r="Z146" s="6"/>
      <c r="AA146" s="6"/>
      <c r="AB146" s="6"/>
      <c r="AC146" s="6"/>
      <c r="AD146" s="6"/>
      <c r="AE146" s="6"/>
    </row>
    <row r="147" spans="22:31" ht="11.25" customHeight="1" x14ac:dyDescent="0.3">
      <c r="V147" s="6"/>
      <c r="W147" s="6"/>
      <c r="X147" s="6"/>
      <c r="Y147" s="6"/>
      <c r="Z147" s="6"/>
      <c r="AA147" s="6"/>
      <c r="AB147" s="6"/>
      <c r="AC147" s="6"/>
      <c r="AD147" s="6"/>
      <c r="AE147" s="6"/>
    </row>
    <row r="148" spans="22:31" ht="11.25" customHeight="1" x14ac:dyDescent="0.3">
      <c r="V148" s="6"/>
      <c r="W148" s="6"/>
      <c r="X148" s="6"/>
      <c r="Y148" s="6"/>
      <c r="Z148" s="6"/>
      <c r="AA148" s="6"/>
      <c r="AB148" s="6"/>
      <c r="AC148" s="6"/>
      <c r="AD148" s="6"/>
      <c r="AE148" s="6"/>
    </row>
    <row r="149" spans="22:31" ht="11.25" customHeight="1" x14ac:dyDescent="0.3">
      <c r="V149" s="6"/>
      <c r="W149" s="6"/>
      <c r="X149" s="6"/>
      <c r="Y149" s="6"/>
      <c r="Z149" s="6"/>
      <c r="AA149" s="6"/>
      <c r="AB149" s="6"/>
      <c r="AC149" s="6"/>
      <c r="AD149" s="6"/>
      <c r="AE149" s="6"/>
    </row>
    <row r="150" spans="22:31" ht="11.25" customHeight="1" x14ac:dyDescent="0.3">
      <c r="V150" s="6"/>
      <c r="W150" s="6"/>
      <c r="X150" s="6"/>
      <c r="Y150" s="6"/>
      <c r="Z150" s="6"/>
      <c r="AA150" s="6"/>
      <c r="AB150" s="6"/>
      <c r="AC150" s="6"/>
      <c r="AD150" s="6"/>
      <c r="AE150" s="6"/>
    </row>
    <row r="151" spans="22:31" ht="11.25" customHeight="1" x14ac:dyDescent="0.3">
      <c r="V151" s="6"/>
      <c r="W151" s="6"/>
      <c r="X151" s="6"/>
      <c r="Y151" s="6"/>
      <c r="Z151" s="6"/>
      <c r="AA151" s="6"/>
      <c r="AB151" s="6"/>
      <c r="AC151" s="6"/>
      <c r="AD151" s="6"/>
      <c r="AE151" s="6"/>
    </row>
    <row r="152" spans="22:31" ht="11.25" customHeight="1" x14ac:dyDescent="0.3">
      <c r="V152" s="6"/>
      <c r="W152" s="6"/>
      <c r="X152" s="6"/>
      <c r="Y152" s="6"/>
      <c r="Z152" s="6"/>
      <c r="AA152" s="6"/>
      <c r="AB152" s="6"/>
      <c r="AC152" s="6"/>
      <c r="AD152" s="6"/>
      <c r="AE152" s="6"/>
    </row>
    <row r="153" spans="22:31" ht="11.25" customHeight="1" x14ac:dyDescent="0.3">
      <c r="V153" s="6"/>
      <c r="W153" s="6"/>
      <c r="X153" s="6"/>
      <c r="Y153" s="6"/>
      <c r="Z153" s="6"/>
      <c r="AA153" s="6"/>
      <c r="AB153" s="6"/>
      <c r="AC153" s="6"/>
      <c r="AD153" s="6"/>
      <c r="AE153" s="6"/>
    </row>
    <row r="154" spans="22:31" ht="11.25" customHeight="1" x14ac:dyDescent="0.3">
      <c r="V154" s="6"/>
      <c r="W154" s="6"/>
      <c r="X154" s="6"/>
      <c r="Y154" s="6"/>
      <c r="Z154" s="6"/>
      <c r="AA154" s="6"/>
      <c r="AB154" s="6"/>
      <c r="AC154" s="6"/>
      <c r="AD154" s="6"/>
      <c r="AE154" s="6"/>
    </row>
    <row r="155" spans="22:31" ht="11.25" customHeight="1" x14ac:dyDescent="0.3">
      <c r="V155" s="6"/>
      <c r="W155" s="6"/>
      <c r="X155" s="6"/>
      <c r="Y155" s="6"/>
      <c r="Z155" s="6"/>
      <c r="AA155" s="6"/>
      <c r="AB155" s="6"/>
      <c r="AC155" s="6"/>
      <c r="AD155" s="6"/>
      <c r="AE155" s="6"/>
    </row>
    <row r="156" spans="22:31" ht="11.25" customHeight="1" x14ac:dyDescent="0.3">
      <c r="V156" s="6"/>
      <c r="W156" s="6"/>
      <c r="X156" s="6"/>
      <c r="Y156" s="6"/>
      <c r="Z156" s="6"/>
      <c r="AA156" s="6"/>
      <c r="AB156" s="6"/>
      <c r="AC156" s="6"/>
      <c r="AD156" s="6"/>
      <c r="AE156" s="6"/>
    </row>
    <row r="157" spans="22:31" ht="11.25" customHeight="1" x14ac:dyDescent="0.3">
      <c r="V157" s="6"/>
      <c r="W157" s="6"/>
      <c r="X157" s="6"/>
      <c r="Y157" s="6"/>
      <c r="Z157" s="6"/>
      <c r="AA157" s="6"/>
      <c r="AB157" s="6"/>
      <c r="AC157" s="6"/>
      <c r="AD157" s="6"/>
      <c r="AE157" s="6"/>
    </row>
    <row r="158" spans="22:31" ht="11.25" customHeight="1" x14ac:dyDescent="0.3">
      <c r="V158" s="6"/>
      <c r="W158" s="6"/>
      <c r="X158" s="6"/>
      <c r="Y158" s="6"/>
      <c r="Z158" s="6"/>
      <c r="AA158" s="6"/>
      <c r="AB158" s="6"/>
      <c r="AC158" s="6"/>
      <c r="AD158" s="6"/>
      <c r="AE158" s="6"/>
    </row>
    <row r="159" spans="22:31" ht="11.25" customHeight="1" x14ac:dyDescent="0.3">
      <c r="V159" s="6"/>
      <c r="W159" s="6"/>
      <c r="X159" s="6"/>
      <c r="Y159" s="6"/>
      <c r="Z159" s="6"/>
      <c r="AA159" s="6"/>
      <c r="AB159" s="6"/>
      <c r="AC159" s="6"/>
      <c r="AD159" s="6"/>
      <c r="AE159" s="6"/>
    </row>
    <row r="160" spans="22:31" ht="11.25" customHeight="1" x14ac:dyDescent="0.3">
      <c r="V160" s="6"/>
      <c r="W160" s="6"/>
      <c r="X160" s="6"/>
      <c r="Y160" s="6"/>
      <c r="Z160" s="6"/>
      <c r="AA160" s="6"/>
      <c r="AB160" s="6"/>
      <c r="AC160" s="6"/>
      <c r="AD160" s="6"/>
      <c r="AE160" s="6"/>
    </row>
    <row r="161" spans="22:31" ht="11.25" customHeight="1" x14ac:dyDescent="0.3">
      <c r="V161" s="6"/>
      <c r="W161" s="6"/>
      <c r="X161" s="6"/>
      <c r="Y161" s="6"/>
      <c r="Z161" s="6"/>
      <c r="AA161" s="6"/>
      <c r="AB161" s="6"/>
      <c r="AC161" s="6"/>
      <c r="AD161" s="6"/>
      <c r="AE161" s="6"/>
    </row>
    <row r="162" spans="22:31" ht="11.25" customHeight="1" x14ac:dyDescent="0.3">
      <c r="V162" s="6"/>
      <c r="W162" s="6"/>
      <c r="X162" s="6"/>
      <c r="Y162" s="6"/>
      <c r="Z162" s="6"/>
      <c r="AA162" s="6"/>
      <c r="AB162" s="6"/>
      <c r="AC162" s="6"/>
      <c r="AD162" s="6"/>
      <c r="AE162" s="6"/>
    </row>
    <row r="163" spans="22:31" ht="11.25" customHeight="1" x14ac:dyDescent="0.3">
      <c r="V163" s="6"/>
      <c r="W163" s="6"/>
      <c r="X163" s="6"/>
      <c r="Y163" s="6"/>
      <c r="Z163" s="6"/>
      <c r="AA163" s="6"/>
      <c r="AB163" s="6"/>
      <c r="AC163" s="6"/>
      <c r="AD163" s="6"/>
      <c r="AE163" s="6"/>
    </row>
    <row r="164" spans="22:31" ht="11.25" customHeight="1" x14ac:dyDescent="0.3">
      <c r="V164" s="6"/>
      <c r="W164" s="6"/>
      <c r="X164" s="6"/>
      <c r="Y164" s="6"/>
      <c r="Z164" s="6"/>
      <c r="AA164" s="6"/>
      <c r="AB164" s="6"/>
      <c r="AC164" s="6"/>
      <c r="AD164" s="6"/>
      <c r="AE164" s="6"/>
    </row>
    <row r="165" spans="22:31" ht="11.25" customHeight="1" x14ac:dyDescent="0.3">
      <c r="V165" s="6"/>
      <c r="W165" s="6"/>
      <c r="X165" s="6"/>
      <c r="Y165" s="6"/>
      <c r="Z165" s="6"/>
      <c r="AA165" s="6"/>
      <c r="AB165" s="6"/>
      <c r="AC165" s="6"/>
      <c r="AD165" s="6"/>
      <c r="AE165" s="6"/>
    </row>
    <row r="166" spans="22:31" ht="11.25" customHeight="1" x14ac:dyDescent="0.3">
      <c r="V166" s="6"/>
      <c r="W166" s="6"/>
      <c r="X166" s="6"/>
      <c r="Y166" s="6"/>
      <c r="Z166" s="6"/>
      <c r="AA166" s="6"/>
      <c r="AB166" s="6"/>
      <c r="AC166" s="6"/>
      <c r="AD166" s="6"/>
      <c r="AE166" s="6"/>
    </row>
    <row r="167" spans="22:31" ht="11.25" customHeight="1" x14ac:dyDescent="0.3">
      <c r="V167" s="6"/>
      <c r="W167" s="6"/>
      <c r="X167" s="6"/>
      <c r="Y167" s="6"/>
      <c r="Z167" s="6"/>
      <c r="AA167" s="6"/>
      <c r="AB167" s="6"/>
      <c r="AC167" s="6"/>
      <c r="AD167" s="6"/>
      <c r="AE167" s="6"/>
    </row>
    <row r="168" spans="22:31" ht="11.25" customHeight="1" x14ac:dyDescent="0.3">
      <c r="V168" s="6"/>
      <c r="W168" s="6"/>
      <c r="X168" s="6"/>
      <c r="Y168" s="6"/>
      <c r="Z168" s="6"/>
      <c r="AA168" s="6"/>
      <c r="AB168" s="6"/>
      <c r="AC168" s="6"/>
      <c r="AD168" s="6"/>
      <c r="AE168" s="6"/>
    </row>
    <row r="169" spans="22:31" ht="11.25" customHeight="1" x14ac:dyDescent="0.3">
      <c r="V169" s="6"/>
      <c r="W169" s="6"/>
      <c r="X169" s="6"/>
      <c r="Y169" s="6"/>
      <c r="Z169" s="6"/>
      <c r="AA169" s="6"/>
      <c r="AB169" s="6"/>
      <c r="AC169" s="6"/>
      <c r="AD169" s="6"/>
      <c r="AE169" s="6"/>
    </row>
    <row r="170" spans="22:31" ht="11.25" customHeight="1" x14ac:dyDescent="0.3">
      <c r="V170" s="6"/>
      <c r="W170" s="6"/>
      <c r="X170" s="6"/>
      <c r="Y170" s="6"/>
      <c r="Z170" s="6"/>
      <c r="AA170" s="6"/>
      <c r="AB170" s="6"/>
      <c r="AC170" s="6"/>
      <c r="AD170" s="6"/>
      <c r="AE170" s="6"/>
    </row>
    <row r="171" spans="22:31" ht="11.25" customHeight="1" x14ac:dyDescent="0.3">
      <c r="V171" s="6"/>
      <c r="W171" s="6"/>
      <c r="X171" s="6"/>
      <c r="Y171" s="6"/>
      <c r="Z171" s="6"/>
      <c r="AA171" s="6"/>
      <c r="AB171" s="6"/>
      <c r="AC171" s="6"/>
      <c r="AD171" s="6"/>
      <c r="AE171" s="6"/>
    </row>
    <row r="172" spans="22:31" ht="11.25" customHeight="1" x14ac:dyDescent="0.3">
      <c r="V172" s="6"/>
      <c r="W172" s="6"/>
      <c r="X172" s="6"/>
      <c r="Y172" s="6"/>
      <c r="Z172" s="6"/>
      <c r="AA172" s="6"/>
      <c r="AB172" s="6"/>
      <c r="AC172" s="6"/>
      <c r="AD172" s="6"/>
      <c r="AE172" s="6"/>
    </row>
    <row r="173" spans="22:31" ht="11.25" customHeight="1" x14ac:dyDescent="0.3">
      <c r="V173" s="6"/>
      <c r="W173" s="6"/>
      <c r="X173" s="6"/>
      <c r="Y173" s="6"/>
      <c r="Z173" s="6"/>
      <c r="AA173" s="6"/>
      <c r="AB173" s="6"/>
      <c r="AC173" s="6"/>
      <c r="AD173" s="6"/>
      <c r="AE173" s="6"/>
    </row>
    <row r="174" spans="22:31" ht="11.25" customHeight="1" x14ac:dyDescent="0.3">
      <c r="V174" s="6"/>
      <c r="W174" s="6"/>
      <c r="X174" s="6"/>
      <c r="Y174" s="6"/>
      <c r="Z174" s="6"/>
      <c r="AA174" s="6"/>
      <c r="AB174" s="6"/>
      <c r="AC174" s="6"/>
      <c r="AD174" s="6"/>
      <c r="AE174" s="6"/>
    </row>
    <row r="175" spans="22:31" ht="11.25" customHeight="1" x14ac:dyDescent="0.3">
      <c r="V175" s="6"/>
      <c r="W175" s="6"/>
      <c r="X175" s="6"/>
      <c r="Y175" s="6"/>
      <c r="Z175" s="6"/>
      <c r="AA175" s="6"/>
      <c r="AB175" s="6"/>
      <c r="AC175" s="6"/>
      <c r="AD175" s="6"/>
      <c r="AE175" s="6"/>
    </row>
    <row r="176" spans="22:31" ht="11.25" customHeight="1" x14ac:dyDescent="0.3">
      <c r="V176" s="6"/>
      <c r="W176" s="6"/>
      <c r="X176" s="6"/>
      <c r="Y176" s="6"/>
      <c r="Z176" s="6"/>
      <c r="AA176" s="6"/>
      <c r="AB176" s="6"/>
      <c r="AC176" s="6"/>
      <c r="AD176" s="6"/>
      <c r="AE176" s="6"/>
    </row>
    <row r="177" spans="22:31" ht="11.25" customHeight="1" x14ac:dyDescent="0.3">
      <c r="V177" s="6"/>
      <c r="W177" s="6"/>
      <c r="X177" s="6"/>
      <c r="Y177" s="6"/>
      <c r="Z177" s="6"/>
      <c r="AA177" s="6"/>
      <c r="AB177" s="6"/>
      <c r="AC177" s="6"/>
      <c r="AD177" s="6"/>
      <c r="AE177" s="6"/>
    </row>
    <row r="178" spans="22:31" ht="11.25" customHeight="1" x14ac:dyDescent="0.3">
      <c r="V178" s="6"/>
      <c r="W178" s="6"/>
      <c r="X178" s="6"/>
      <c r="Y178" s="6"/>
      <c r="Z178" s="6"/>
      <c r="AA178" s="6"/>
      <c r="AB178" s="6"/>
      <c r="AC178" s="6"/>
      <c r="AD178" s="6"/>
      <c r="AE178" s="6"/>
    </row>
    <row r="179" spans="22:31" ht="11.25" customHeight="1" x14ac:dyDescent="0.3">
      <c r="V179" s="6"/>
      <c r="W179" s="6"/>
      <c r="X179" s="6"/>
      <c r="Y179" s="6"/>
      <c r="Z179" s="6"/>
      <c r="AA179" s="6"/>
      <c r="AB179" s="6"/>
      <c r="AC179" s="6"/>
      <c r="AD179" s="6"/>
      <c r="AE179" s="6"/>
    </row>
    <row r="180" spans="22:31" ht="11.25" customHeight="1" x14ac:dyDescent="0.3">
      <c r="V180" s="6"/>
      <c r="W180" s="6"/>
      <c r="X180" s="6"/>
      <c r="Y180" s="6"/>
      <c r="Z180" s="6"/>
      <c r="AA180" s="6"/>
      <c r="AB180" s="6"/>
      <c r="AC180" s="6"/>
      <c r="AD180" s="6"/>
      <c r="AE180" s="6"/>
    </row>
    <row r="181" spans="22:31" ht="11.25" customHeight="1" x14ac:dyDescent="0.3">
      <c r="V181" s="6"/>
      <c r="W181" s="6"/>
      <c r="X181" s="6"/>
      <c r="Y181" s="6"/>
      <c r="Z181" s="6"/>
      <c r="AA181" s="6"/>
      <c r="AB181" s="6"/>
      <c r="AC181" s="6"/>
      <c r="AD181" s="6"/>
      <c r="AE181" s="6"/>
    </row>
    <row r="182" spans="22:31" ht="11.25" customHeight="1" x14ac:dyDescent="0.3">
      <c r="V182" s="6"/>
      <c r="W182" s="6"/>
      <c r="X182" s="6"/>
      <c r="Y182" s="6"/>
      <c r="Z182" s="6"/>
      <c r="AA182" s="6"/>
      <c r="AB182" s="6"/>
      <c r="AC182" s="6"/>
      <c r="AD182" s="6"/>
      <c r="AE182" s="6"/>
    </row>
    <row r="183" spans="22:31" ht="11.25" customHeight="1" x14ac:dyDescent="0.3">
      <c r="V183" s="6"/>
      <c r="W183" s="6"/>
      <c r="X183" s="6"/>
      <c r="Y183" s="6"/>
      <c r="Z183" s="6"/>
      <c r="AA183" s="6"/>
      <c r="AB183" s="6"/>
      <c r="AC183" s="6"/>
      <c r="AD183" s="6"/>
      <c r="AE183" s="6"/>
    </row>
    <row r="184" spans="22:31" ht="11.25" customHeight="1" x14ac:dyDescent="0.3">
      <c r="V184" s="6"/>
      <c r="W184" s="6"/>
      <c r="X184" s="6"/>
      <c r="Y184" s="6"/>
      <c r="Z184" s="6"/>
      <c r="AA184" s="6"/>
      <c r="AB184" s="6"/>
      <c r="AC184" s="6"/>
      <c r="AD184" s="6"/>
      <c r="AE184" s="6"/>
    </row>
    <row r="185" spans="22:31" ht="11.25" customHeight="1" x14ac:dyDescent="0.3">
      <c r="V185" s="6"/>
      <c r="W185" s="6"/>
      <c r="X185" s="6"/>
      <c r="Y185" s="6"/>
      <c r="Z185" s="6"/>
      <c r="AA185" s="6"/>
      <c r="AB185" s="6"/>
      <c r="AC185" s="6"/>
      <c r="AD185" s="6"/>
      <c r="AE185" s="6"/>
    </row>
    <row r="186" spans="22:31" ht="11.25" customHeight="1" x14ac:dyDescent="0.3">
      <c r="V186" s="6"/>
      <c r="W186" s="6"/>
      <c r="X186" s="6"/>
      <c r="Y186" s="6"/>
      <c r="Z186" s="6"/>
      <c r="AA186" s="6"/>
      <c r="AB186" s="6"/>
      <c r="AC186" s="6"/>
      <c r="AD186" s="6"/>
      <c r="AE186" s="6"/>
    </row>
    <row r="187" spans="22:31" ht="11.25" customHeight="1" x14ac:dyDescent="0.3">
      <c r="V187" s="6"/>
      <c r="W187" s="6"/>
      <c r="X187" s="6"/>
      <c r="Y187" s="6"/>
      <c r="Z187" s="6"/>
      <c r="AA187" s="6"/>
      <c r="AB187" s="6"/>
      <c r="AC187" s="6"/>
      <c r="AD187" s="6"/>
      <c r="AE187" s="6"/>
    </row>
    <row r="188" spans="22:31" ht="11.25" customHeight="1" x14ac:dyDescent="0.3">
      <c r="V188" s="6"/>
      <c r="W188" s="6"/>
      <c r="X188" s="6"/>
      <c r="Y188" s="6"/>
      <c r="Z188" s="6"/>
      <c r="AA188" s="6"/>
      <c r="AB188" s="6"/>
      <c r="AC188" s="6"/>
      <c r="AD188" s="6"/>
      <c r="AE188" s="6"/>
    </row>
    <row r="189" spans="22:31" ht="11.25" customHeight="1" x14ac:dyDescent="0.3">
      <c r="V189" s="6"/>
      <c r="W189" s="6"/>
      <c r="X189" s="6"/>
      <c r="Y189" s="6"/>
      <c r="Z189" s="6"/>
      <c r="AA189" s="6"/>
      <c r="AB189" s="6"/>
      <c r="AC189" s="6"/>
      <c r="AD189" s="6"/>
      <c r="AE189" s="6"/>
    </row>
    <row r="190" spans="22:31" ht="11.25" customHeight="1" x14ac:dyDescent="0.3">
      <c r="V190" s="6"/>
      <c r="W190" s="6"/>
      <c r="X190" s="6"/>
      <c r="Y190" s="6"/>
      <c r="Z190" s="6"/>
      <c r="AA190" s="6"/>
      <c r="AB190" s="6"/>
      <c r="AC190" s="6"/>
      <c r="AD190" s="6"/>
      <c r="AE190" s="6"/>
    </row>
    <row r="191" spans="22:31" ht="11.25" customHeight="1" x14ac:dyDescent="0.3">
      <c r="V191" s="6"/>
      <c r="W191" s="6"/>
      <c r="X191" s="6"/>
      <c r="Y191" s="6"/>
      <c r="Z191" s="6"/>
      <c r="AA191" s="6"/>
      <c r="AB191" s="6"/>
      <c r="AC191" s="6"/>
      <c r="AD191" s="6"/>
      <c r="AE191" s="6"/>
    </row>
    <row r="192" spans="22:31" ht="11.25" customHeight="1" x14ac:dyDescent="0.3">
      <c r="V192" s="6"/>
      <c r="W192" s="6"/>
      <c r="X192" s="6"/>
      <c r="Y192" s="6"/>
      <c r="Z192" s="6"/>
      <c r="AA192" s="6"/>
      <c r="AB192" s="6"/>
      <c r="AC192" s="6"/>
      <c r="AD192" s="6"/>
      <c r="AE192" s="6"/>
    </row>
    <row r="193" spans="22:31" ht="11.25" customHeight="1" x14ac:dyDescent="0.3">
      <c r="V193" s="6"/>
      <c r="W193" s="6"/>
      <c r="X193" s="6"/>
      <c r="Y193" s="6"/>
      <c r="Z193" s="6"/>
      <c r="AA193" s="6"/>
      <c r="AB193" s="6"/>
      <c r="AC193" s="6"/>
      <c r="AD193" s="6"/>
      <c r="AE193" s="6"/>
    </row>
    <row r="194" spans="22:31" ht="11.25" customHeight="1" x14ac:dyDescent="0.3">
      <c r="V194" s="6"/>
      <c r="W194" s="6"/>
      <c r="X194" s="6"/>
      <c r="Y194" s="6"/>
      <c r="Z194" s="6"/>
      <c r="AA194" s="6"/>
      <c r="AB194" s="6"/>
      <c r="AC194" s="6"/>
      <c r="AD194" s="6"/>
      <c r="AE194" s="6"/>
    </row>
    <row r="195" spans="22:31" ht="11.25" customHeight="1" x14ac:dyDescent="0.3">
      <c r="V195" s="6"/>
      <c r="W195" s="6"/>
      <c r="X195" s="6"/>
      <c r="Y195" s="6"/>
      <c r="Z195" s="6"/>
      <c r="AA195" s="6"/>
      <c r="AB195" s="6"/>
      <c r="AC195" s="6"/>
      <c r="AD195" s="6"/>
      <c r="AE195" s="6"/>
    </row>
    <row r="196" spans="22:31" ht="11.25" customHeight="1" x14ac:dyDescent="0.3">
      <c r="V196" s="6"/>
      <c r="W196" s="6"/>
      <c r="X196" s="6"/>
      <c r="Y196" s="6"/>
      <c r="Z196" s="6"/>
      <c r="AA196" s="6"/>
      <c r="AB196" s="6"/>
      <c r="AC196" s="6"/>
      <c r="AD196" s="6"/>
      <c r="AE196" s="6"/>
    </row>
    <row r="197" spans="22:31" ht="11.25" customHeight="1" x14ac:dyDescent="0.3">
      <c r="V197" s="6"/>
      <c r="W197" s="6"/>
      <c r="X197" s="6"/>
      <c r="Y197" s="6"/>
      <c r="Z197" s="6"/>
      <c r="AA197" s="6"/>
      <c r="AB197" s="6"/>
      <c r="AC197" s="6"/>
      <c r="AD197" s="6"/>
      <c r="AE197" s="6"/>
    </row>
    <row r="198" spans="22:31" ht="11.25" customHeight="1" x14ac:dyDescent="0.3">
      <c r="V198" s="6"/>
      <c r="W198" s="6"/>
      <c r="X198" s="6"/>
      <c r="Y198" s="6"/>
      <c r="Z198" s="6"/>
      <c r="AA198" s="6"/>
      <c r="AB198" s="6"/>
      <c r="AC198" s="6"/>
      <c r="AD198" s="6"/>
      <c r="AE198" s="6"/>
    </row>
    <row r="199" spans="22:31" ht="11.25" customHeight="1" x14ac:dyDescent="0.3">
      <c r="V199" s="6"/>
      <c r="W199" s="6"/>
      <c r="X199" s="6"/>
      <c r="Y199" s="6"/>
      <c r="Z199" s="6"/>
      <c r="AA199" s="6"/>
      <c r="AB199" s="6"/>
      <c r="AC199" s="6"/>
      <c r="AD199" s="6"/>
      <c r="AE199" s="6"/>
    </row>
    <row r="200" spans="22:31" ht="11.25" customHeight="1" x14ac:dyDescent="0.3">
      <c r="V200" s="6"/>
      <c r="W200" s="6"/>
      <c r="X200" s="6"/>
      <c r="Y200" s="6"/>
      <c r="Z200" s="6"/>
      <c r="AA200" s="6"/>
      <c r="AB200" s="6"/>
      <c r="AC200" s="6"/>
      <c r="AD200" s="6"/>
      <c r="AE200" s="6"/>
    </row>
    <row r="201" spans="22:31" ht="11.25" customHeight="1" x14ac:dyDescent="0.3">
      <c r="V201" s="6"/>
      <c r="W201" s="6"/>
      <c r="X201" s="6"/>
      <c r="Y201" s="6"/>
      <c r="Z201" s="6"/>
      <c r="AA201" s="6"/>
      <c r="AB201" s="6"/>
      <c r="AC201" s="6"/>
      <c r="AD201" s="6"/>
      <c r="AE201" s="6"/>
    </row>
    <row r="202" spans="22:31" ht="11.25" customHeight="1" x14ac:dyDescent="0.3">
      <c r="V202" s="6"/>
      <c r="W202" s="6"/>
      <c r="X202" s="6"/>
      <c r="Y202" s="6"/>
      <c r="Z202" s="6"/>
      <c r="AA202" s="6"/>
      <c r="AB202" s="6"/>
      <c r="AC202" s="6"/>
      <c r="AD202" s="6"/>
      <c r="AE202" s="6"/>
    </row>
    <row r="203" spans="22:31" ht="11.25" customHeight="1" x14ac:dyDescent="0.3">
      <c r="V203" s="6"/>
      <c r="W203" s="6"/>
      <c r="X203" s="6"/>
      <c r="Y203" s="6"/>
      <c r="Z203" s="6"/>
      <c r="AA203" s="6"/>
      <c r="AB203" s="6"/>
      <c r="AC203" s="6"/>
      <c r="AD203" s="6"/>
      <c r="AE203" s="6"/>
    </row>
    <row r="204" spans="22:31" ht="11.25" customHeight="1" x14ac:dyDescent="0.3">
      <c r="V204" s="6"/>
      <c r="W204" s="6"/>
      <c r="X204" s="6"/>
      <c r="Y204" s="6"/>
      <c r="Z204" s="6"/>
      <c r="AA204" s="6"/>
      <c r="AB204" s="6"/>
      <c r="AC204" s="6"/>
      <c r="AD204" s="6"/>
      <c r="AE204" s="6"/>
    </row>
    <row r="205" spans="22:31" ht="11.25" customHeight="1" x14ac:dyDescent="0.3">
      <c r="V205" s="6"/>
      <c r="W205" s="6"/>
      <c r="X205" s="6"/>
      <c r="Y205" s="6"/>
      <c r="Z205" s="6"/>
      <c r="AA205" s="6"/>
      <c r="AB205" s="6"/>
      <c r="AC205" s="6"/>
      <c r="AD205" s="6"/>
      <c r="AE205" s="6"/>
    </row>
    <row r="206" spans="22:31" ht="11.25" customHeight="1" x14ac:dyDescent="0.3">
      <c r="V206" s="6"/>
      <c r="W206" s="6"/>
      <c r="X206" s="6"/>
      <c r="Y206" s="6"/>
      <c r="Z206" s="6"/>
      <c r="AA206" s="6"/>
      <c r="AB206" s="6"/>
      <c r="AC206" s="6"/>
      <c r="AD206" s="6"/>
      <c r="AE206" s="6"/>
    </row>
    <row r="207" spans="22:31" ht="11.25" customHeight="1" x14ac:dyDescent="0.3">
      <c r="V207" s="6"/>
      <c r="W207" s="6"/>
      <c r="X207" s="6"/>
      <c r="Y207" s="6"/>
      <c r="Z207" s="6"/>
      <c r="AA207" s="6"/>
      <c r="AB207" s="6"/>
      <c r="AC207" s="6"/>
      <c r="AD207" s="6"/>
      <c r="AE207" s="6"/>
    </row>
    <row r="208" spans="22:31" ht="11.25" customHeight="1" x14ac:dyDescent="0.3">
      <c r="V208" s="6"/>
      <c r="W208" s="6"/>
      <c r="X208" s="6"/>
      <c r="Y208" s="6"/>
      <c r="Z208" s="6"/>
      <c r="AA208" s="6"/>
      <c r="AB208" s="6"/>
      <c r="AC208" s="6"/>
      <c r="AD208" s="6"/>
      <c r="AE208" s="6"/>
    </row>
    <row r="209" spans="22:31" ht="11.25" customHeight="1" x14ac:dyDescent="0.3">
      <c r="V209" s="6"/>
      <c r="W209" s="6"/>
      <c r="X209" s="6"/>
      <c r="Y209" s="6"/>
      <c r="Z209" s="6"/>
      <c r="AA209" s="6"/>
      <c r="AB209" s="6"/>
      <c r="AC209" s="6"/>
      <c r="AD209" s="6"/>
      <c r="AE209" s="6"/>
    </row>
    <row r="210" spans="22:31" ht="11.25" customHeight="1" x14ac:dyDescent="0.3">
      <c r="V210" s="6"/>
      <c r="W210" s="6"/>
      <c r="X210" s="6"/>
      <c r="Y210" s="6"/>
      <c r="Z210" s="6"/>
      <c r="AA210" s="6"/>
      <c r="AB210" s="6"/>
      <c r="AC210" s="6"/>
      <c r="AD210" s="6"/>
      <c r="AE210" s="6"/>
    </row>
    <row r="211" spans="22:31" ht="11.25" customHeight="1" x14ac:dyDescent="0.3">
      <c r="V211" s="6"/>
      <c r="W211" s="6"/>
      <c r="X211" s="6"/>
      <c r="Y211" s="6"/>
      <c r="Z211" s="6"/>
      <c r="AA211" s="6"/>
      <c r="AB211" s="6"/>
      <c r="AC211" s="6"/>
      <c r="AD211" s="6"/>
      <c r="AE211" s="6"/>
    </row>
    <row r="212" spans="22:31" ht="11.25" customHeight="1" x14ac:dyDescent="0.3">
      <c r="V212" s="6"/>
      <c r="W212" s="6"/>
      <c r="X212" s="6"/>
      <c r="Y212" s="6"/>
      <c r="Z212" s="6"/>
      <c r="AA212" s="6"/>
      <c r="AB212" s="6"/>
      <c r="AC212" s="6"/>
      <c r="AD212" s="6"/>
      <c r="AE212" s="6"/>
    </row>
    <row r="213" spans="22:31" ht="11.25" customHeight="1" x14ac:dyDescent="0.3">
      <c r="V213" s="6"/>
      <c r="W213" s="6"/>
      <c r="X213" s="6"/>
      <c r="Y213" s="6"/>
      <c r="Z213" s="6"/>
      <c r="AA213" s="6"/>
      <c r="AB213" s="6"/>
      <c r="AC213" s="6"/>
      <c r="AD213" s="6"/>
      <c r="AE213" s="6"/>
    </row>
    <row r="214" spans="22:31" ht="11.25" customHeight="1" x14ac:dyDescent="0.3">
      <c r="V214" s="6"/>
      <c r="W214" s="6"/>
      <c r="X214" s="6"/>
      <c r="Y214" s="6"/>
      <c r="Z214" s="6"/>
      <c r="AA214" s="6"/>
      <c r="AB214" s="6"/>
      <c r="AC214" s="6"/>
      <c r="AD214" s="6"/>
      <c r="AE214" s="6"/>
    </row>
    <row r="215" spans="22:31" ht="11.25" customHeight="1" x14ac:dyDescent="0.3">
      <c r="V215" s="6"/>
      <c r="W215" s="6"/>
      <c r="X215" s="6"/>
      <c r="Y215" s="6"/>
      <c r="Z215" s="6"/>
      <c r="AA215" s="6"/>
      <c r="AB215" s="6"/>
      <c r="AC215" s="6"/>
      <c r="AD215" s="6"/>
      <c r="AE215" s="6"/>
    </row>
    <row r="216" spans="22:31" ht="11.25" customHeight="1" x14ac:dyDescent="0.3">
      <c r="V216" s="6"/>
      <c r="W216" s="6"/>
      <c r="X216" s="6"/>
      <c r="Y216" s="6"/>
      <c r="Z216" s="6"/>
      <c r="AA216" s="6"/>
      <c r="AB216" s="6"/>
      <c r="AC216" s="6"/>
      <c r="AD216" s="6"/>
      <c r="AE216" s="6"/>
    </row>
    <row r="217" spans="22:31" ht="11.25" customHeight="1" x14ac:dyDescent="0.3">
      <c r="V217" s="6"/>
      <c r="W217" s="6"/>
      <c r="X217" s="6"/>
      <c r="Y217" s="6"/>
      <c r="Z217" s="6"/>
      <c r="AA217" s="6"/>
      <c r="AB217" s="6"/>
      <c r="AC217" s="6"/>
      <c r="AD217" s="6"/>
      <c r="AE217" s="6"/>
    </row>
    <row r="218" spans="22:31" ht="11.25" customHeight="1" x14ac:dyDescent="0.3">
      <c r="V218" s="6"/>
      <c r="W218" s="6"/>
      <c r="X218" s="6"/>
      <c r="Y218" s="6"/>
      <c r="Z218" s="6"/>
      <c r="AA218" s="6"/>
      <c r="AB218" s="6"/>
      <c r="AC218" s="6"/>
      <c r="AD218" s="6"/>
      <c r="AE218" s="6"/>
    </row>
    <row r="219" spans="22:31" ht="11.25" customHeight="1" x14ac:dyDescent="0.3">
      <c r="V219" s="6"/>
      <c r="W219" s="6"/>
      <c r="X219" s="6"/>
      <c r="Y219" s="6"/>
      <c r="Z219" s="6"/>
      <c r="AA219" s="6"/>
      <c r="AB219" s="6"/>
      <c r="AC219" s="6"/>
      <c r="AD219" s="6"/>
      <c r="AE219" s="6"/>
    </row>
    <row r="220" spans="22:31" ht="11.25" customHeight="1" x14ac:dyDescent="0.3">
      <c r="V220" s="6"/>
      <c r="W220" s="6"/>
      <c r="X220" s="6"/>
      <c r="Y220" s="6"/>
      <c r="Z220" s="6"/>
      <c r="AA220" s="6"/>
      <c r="AB220" s="6"/>
      <c r="AC220" s="6"/>
      <c r="AD220" s="6"/>
      <c r="AE220" s="6"/>
    </row>
    <row r="221" spans="22:31" ht="11.25" customHeight="1" x14ac:dyDescent="0.3">
      <c r="V221" s="6"/>
      <c r="W221" s="6"/>
      <c r="X221" s="6"/>
      <c r="Y221" s="6"/>
      <c r="Z221" s="6"/>
      <c r="AA221" s="6"/>
      <c r="AB221" s="6"/>
      <c r="AC221" s="6"/>
      <c r="AD221" s="6"/>
      <c r="AE221" s="6"/>
    </row>
    <row r="222" spans="22:31" ht="11.25" customHeight="1" x14ac:dyDescent="0.3">
      <c r="V222" s="6"/>
      <c r="W222" s="6"/>
      <c r="X222" s="6"/>
      <c r="Y222" s="6"/>
      <c r="Z222" s="6"/>
      <c r="AA222" s="6"/>
      <c r="AB222" s="6"/>
      <c r="AC222" s="6"/>
      <c r="AD222" s="6"/>
      <c r="AE222" s="6"/>
    </row>
    <row r="223" spans="22:31" ht="11.25" customHeight="1" x14ac:dyDescent="0.3">
      <c r="V223" s="6"/>
      <c r="W223" s="6"/>
      <c r="X223" s="6"/>
      <c r="Y223" s="6"/>
      <c r="Z223" s="6"/>
      <c r="AA223" s="6"/>
      <c r="AB223" s="6"/>
      <c r="AC223" s="6"/>
      <c r="AD223" s="6"/>
      <c r="AE223" s="6"/>
    </row>
    <row r="224" spans="22:31" ht="11.25" customHeight="1" x14ac:dyDescent="0.3">
      <c r="V224" s="6"/>
      <c r="W224" s="6"/>
      <c r="X224" s="6"/>
      <c r="Y224" s="6"/>
      <c r="Z224" s="6"/>
      <c r="AA224" s="6"/>
      <c r="AB224" s="6"/>
      <c r="AC224" s="6"/>
      <c r="AD224" s="6"/>
      <c r="AE224" s="6"/>
    </row>
    <row r="225" spans="22:31" ht="11.25" customHeight="1" x14ac:dyDescent="0.3">
      <c r="V225" s="6"/>
      <c r="W225" s="6"/>
      <c r="X225" s="6"/>
      <c r="Y225" s="6"/>
      <c r="Z225" s="6"/>
      <c r="AA225" s="6"/>
      <c r="AB225" s="6"/>
      <c r="AC225" s="6"/>
      <c r="AD225" s="6"/>
      <c r="AE225" s="6"/>
    </row>
    <row r="226" spans="22:31" ht="11.25" customHeight="1" x14ac:dyDescent="0.3">
      <c r="V226" s="6"/>
      <c r="W226" s="6"/>
      <c r="X226" s="6"/>
      <c r="Y226" s="6"/>
      <c r="Z226" s="6"/>
      <c r="AA226" s="6"/>
      <c r="AB226" s="6"/>
      <c r="AC226" s="6"/>
      <c r="AD226" s="6"/>
      <c r="AE226" s="6"/>
    </row>
    <row r="227" spans="22:31" ht="11.25" customHeight="1" x14ac:dyDescent="0.3">
      <c r="V227" s="6"/>
      <c r="W227" s="6"/>
      <c r="X227" s="6"/>
      <c r="Y227" s="6"/>
      <c r="Z227" s="6"/>
      <c r="AA227" s="6"/>
      <c r="AB227" s="6"/>
      <c r="AC227" s="6"/>
      <c r="AD227" s="6"/>
      <c r="AE227" s="6"/>
    </row>
    <row r="228" spans="22:31" ht="11.25" customHeight="1" x14ac:dyDescent="0.3">
      <c r="V228" s="6"/>
      <c r="W228" s="6"/>
      <c r="X228" s="6"/>
      <c r="Y228" s="6"/>
      <c r="Z228" s="6"/>
      <c r="AA228" s="6"/>
      <c r="AB228" s="6"/>
      <c r="AC228" s="6"/>
      <c r="AD228" s="6"/>
      <c r="AE228" s="6"/>
    </row>
    <row r="229" spans="22:31" ht="11.25" customHeight="1" x14ac:dyDescent="0.3">
      <c r="V229" s="6"/>
      <c r="W229" s="6"/>
      <c r="X229" s="6"/>
      <c r="Y229" s="6"/>
      <c r="Z229" s="6"/>
      <c r="AA229" s="6"/>
      <c r="AB229" s="6"/>
      <c r="AC229" s="6"/>
      <c r="AD229" s="6"/>
      <c r="AE229" s="6"/>
    </row>
    <row r="230" spans="22:31" ht="11.25" customHeight="1" x14ac:dyDescent="0.3">
      <c r="V230" s="6"/>
      <c r="W230" s="6"/>
      <c r="X230" s="6"/>
      <c r="Y230" s="6"/>
      <c r="Z230" s="6"/>
      <c r="AA230" s="6"/>
      <c r="AB230" s="6"/>
      <c r="AC230" s="6"/>
      <c r="AD230" s="6"/>
      <c r="AE230" s="6"/>
    </row>
    <row r="231" spans="22:31" ht="11.25" customHeight="1" x14ac:dyDescent="0.3">
      <c r="V231" s="6"/>
      <c r="W231" s="6"/>
      <c r="X231" s="6"/>
      <c r="Y231" s="6"/>
      <c r="Z231" s="6"/>
      <c r="AA231" s="6"/>
      <c r="AB231" s="6"/>
      <c r="AC231" s="6"/>
      <c r="AD231" s="6"/>
      <c r="AE231" s="6"/>
    </row>
    <row r="232" spans="22:31" ht="11.25" customHeight="1" x14ac:dyDescent="0.3">
      <c r="V232" s="6"/>
      <c r="W232" s="6"/>
      <c r="X232" s="6"/>
      <c r="Y232" s="6"/>
      <c r="Z232" s="6"/>
      <c r="AA232" s="6"/>
      <c r="AB232" s="6"/>
      <c r="AC232" s="6"/>
      <c r="AD232" s="6"/>
      <c r="AE232" s="6"/>
    </row>
    <row r="233" spans="22:31" ht="11.25" customHeight="1" x14ac:dyDescent="0.3">
      <c r="V233" s="6"/>
      <c r="W233" s="6"/>
      <c r="X233" s="6"/>
      <c r="Y233" s="6"/>
      <c r="Z233" s="6"/>
      <c r="AA233" s="6"/>
      <c r="AB233" s="6"/>
      <c r="AC233" s="6"/>
      <c r="AD233" s="6"/>
      <c r="AE233" s="6"/>
    </row>
    <row r="234" spans="22:31" ht="11.25" customHeight="1" x14ac:dyDescent="0.3">
      <c r="V234" s="6"/>
      <c r="W234" s="6"/>
      <c r="X234" s="6"/>
      <c r="Y234" s="6"/>
      <c r="Z234" s="6"/>
      <c r="AA234" s="6"/>
      <c r="AB234" s="6"/>
      <c r="AC234" s="6"/>
      <c r="AD234" s="6"/>
      <c r="AE234" s="6"/>
    </row>
    <row r="235" spans="22:31" ht="11.25" customHeight="1" x14ac:dyDescent="0.3">
      <c r="V235" s="6"/>
      <c r="W235" s="6"/>
      <c r="X235" s="6"/>
      <c r="Y235" s="6"/>
      <c r="Z235" s="6"/>
      <c r="AA235" s="6"/>
      <c r="AB235" s="6"/>
      <c r="AC235" s="6"/>
      <c r="AD235" s="6"/>
      <c r="AE235" s="6"/>
    </row>
    <row r="236" spans="22:31" ht="11.25" customHeight="1" x14ac:dyDescent="0.3">
      <c r="V236" s="6"/>
      <c r="W236" s="6"/>
      <c r="X236" s="6"/>
      <c r="Y236" s="6"/>
      <c r="Z236" s="6"/>
      <c r="AA236" s="6"/>
      <c r="AB236" s="6"/>
      <c r="AC236" s="6"/>
      <c r="AD236" s="6"/>
      <c r="AE236" s="6"/>
    </row>
    <row r="237" spans="22:31" ht="11.25" customHeight="1" x14ac:dyDescent="0.3">
      <c r="V237" s="6"/>
      <c r="W237" s="6"/>
      <c r="X237" s="6"/>
      <c r="Y237" s="6"/>
      <c r="Z237" s="6"/>
      <c r="AA237" s="6"/>
      <c r="AB237" s="6"/>
      <c r="AC237" s="6"/>
      <c r="AD237" s="6"/>
      <c r="AE237" s="6"/>
    </row>
    <row r="238" spans="22:31" ht="11.25" customHeight="1" x14ac:dyDescent="0.3">
      <c r="V238" s="6"/>
      <c r="W238" s="6"/>
      <c r="X238" s="6"/>
      <c r="Y238" s="6"/>
      <c r="Z238" s="6"/>
      <c r="AA238" s="6"/>
      <c r="AB238" s="6"/>
      <c r="AC238" s="6"/>
      <c r="AD238" s="6"/>
      <c r="AE238" s="6"/>
    </row>
    <row r="239" spans="22:31" ht="11.25" customHeight="1" x14ac:dyDescent="0.3">
      <c r="V239" s="6"/>
      <c r="W239" s="6"/>
      <c r="X239" s="6"/>
      <c r="Y239" s="6"/>
      <c r="Z239" s="6"/>
      <c r="AA239" s="6"/>
      <c r="AB239" s="6"/>
      <c r="AC239" s="6"/>
      <c r="AD239" s="6"/>
      <c r="AE239" s="6"/>
    </row>
    <row r="240" spans="22:31" ht="11.25" customHeight="1" x14ac:dyDescent="0.3">
      <c r="V240" s="6"/>
      <c r="W240" s="6"/>
      <c r="X240" s="6"/>
      <c r="Y240" s="6"/>
      <c r="Z240" s="6"/>
      <c r="AA240" s="6"/>
      <c r="AB240" s="6"/>
      <c r="AC240" s="6"/>
      <c r="AD240" s="6"/>
      <c r="AE240" s="6"/>
    </row>
    <row r="241" spans="22:31" ht="11.25" customHeight="1" x14ac:dyDescent="0.3">
      <c r="V241" s="6"/>
      <c r="W241" s="6"/>
      <c r="X241" s="6"/>
      <c r="Y241" s="6"/>
      <c r="Z241" s="6"/>
      <c r="AA241" s="6"/>
      <c r="AB241" s="6"/>
      <c r="AC241" s="6"/>
      <c r="AD241" s="6"/>
      <c r="AE241" s="6"/>
    </row>
    <row r="242" spans="22:31" ht="11.25" customHeight="1" x14ac:dyDescent="0.3">
      <c r="V242" s="6"/>
      <c r="W242" s="6"/>
      <c r="X242" s="6"/>
      <c r="Y242" s="6"/>
      <c r="Z242" s="6"/>
      <c r="AA242" s="6"/>
      <c r="AB242" s="6"/>
      <c r="AC242" s="6"/>
      <c r="AD242" s="6"/>
      <c r="AE242" s="6"/>
    </row>
    <row r="243" spans="22:31" ht="11.25" customHeight="1" x14ac:dyDescent="0.3">
      <c r="V243" s="6"/>
      <c r="W243" s="6"/>
      <c r="X243" s="6"/>
      <c r="Y243" s="6"/>
      <c r="Z243" s="6"/>
      <c r="AA243" s="6"/>
      <c r="AB243" s="6"/>
      <c r="AC243" s="6"/>
      <c r="AD243" s="6"/>
      <c r="AE243" s="6"/>
    </row>
    <row r="244" spans="22:31" ht="11.25" customHeight="1" x14ac:dyDescent="0.3">
      <c r="V244" s="6"/>
      <c r="W244" s="6"/>
      <c r="X244" s="6"/>
      <c r="Y244" s="6"/>
      <c r="Z244" s="6"/>
      <c r="AA244" s="6"/>
      <c r="AB244" s="6"/>
      <c r="AC244" s="6"/>
      <c r="AD244" s="6"/>
      <c r="AE244" s="6"/>
    </row>
    <row r="245" spans="22:31" ht="11.25" customHeight="1" x14ac:dyDescent="0.3">
      <c r="V245" s="6"/>
      <c r="W245" s="6"/>
      <c r="X245" s="6"/>
      <c r="Y245" s="6"/>
      <c r="Z245" s="6"/>
      <c r="AA245" s="6"/>
      <c r="AB245" s="6"/>
      <c r="AC245" s="6"/>
      <c r="AD245" s="6"/>
      <c r="AE245" s="6"/>
    </row>
    <row r="246" spans="22:31" ht="11.25" customHeight="1" x14ac:dyDescent="0.3">
      <c r="V246" s="6"/>
      <c r="W246" s="6"/>
      <c r="X246" s="6"/>
      <c r="Y246" s="6"/>
      <c r="Z246" s="6"/>
      <c r="AA246" s="6"/>
      <c r="AB246" s="6"/>
      <c r="AC246" s="6"/>
      <c r="AD246" s="6"/>
      <c r="AE246" s="6"/>
    </row>
    <row r="247" spans="22:31" ht="11.25" customHeight="1" x14ac:dyDescent="0.3">
      <c r="V247" s="6"/>
      <c r="W247" s="6"/>
      <c r="X247" s="6"/>
      <c r="Y247" s="6"/>
      <c r="Z247" s="6"/>
      <c r="AA247" s="6"/>
      <c r="AB247" s="6"/>
      <c r="AC247" s="6"/>
      <c r="AD247" s="6"/>
      <c r="AE247" s="6"/>
    </row>
    <row r="248" spans="22:31" ht="11.25" customHeight="1" x14ac:dyDescent="0.3">
      <c r="V248" s="6"/>
      <c r="W248" s="6"/>
      <c r="X248" s="6"/>
      <c r="Y248" s="6"/>
      <c r="Z248" s="6"/>
      <c r="AA248" s="6"/>
      <c r="AB248" s="6"/>
      <c r="AC248" s="6"/>
      <c r="AD248" s="6"/>
      <c r="AE248" s="6"/>
    </row>
    <row r="249" spans="22:31" ht="11.25" customHeight="1" x14ac:dyDescent="0.3">
      <c r="V249" s="6"/>
      <c r="W249" s="6"/>
      <c r="X249" s="6"/>
      <c r="Y249" s="6"/>
      <c r="Z249" s="6"/>
      <c r="AA249" s="6"/>
      <c r="AB249" s="6"/>
      <c r="AC249" s="6"/>
      <c r="AD249" s="6"/>
      <c r="AE249" s="6"/>
    </row>
    <row r="250" spans="22:31" ht="11.25" customHeight="1" x14ac:dyDescent="0.3">
      <c r="V250" s="6"/>
      <c r="W250" s="6"/>
      <c r="X250" s="6"/>
      <c r="Y250" s="6"/>
      <c r="Z250" s="6"/>
      <c r="AA250" s="6"/>
      <c r="AB250" s="6"/>
      <c r="AC250" s="6"/>
      <c r="AD250" s="6"/>
      <c r="AE250" s="6"/>
    </row>
    <row r="251" spans="22:31" ht="11.25" customHeight="1" x14ac:dyDescent="0.3">
      <c r="V251" s="6"/>
      <c r="W251" s="6"/>
      <c r="X251" s="6"/>
      <c r="Y251" s="6"/>
      <c r="Z251" s="6"/>
      <c r="AA251" s="6"/>
      <c r="AB251" s="6"/>
      <c r="AC251" s="6"/>
      <c r="AD251" s="6"/>
      <c r="AE251" s="6"/>
    </row>
    <row r="252" spans="22:31" ht="11.25" customHeight="1" x14ac:dyDescent="0.3">
      <c r="V252" s="6"/>
      <c r="W252" s="6"/>
      <c r="X252" s="6"/>
      <c r="Y252" s="6"/>
      <c r="Z252" s="6"/>
      <c r="AA252" s="6"/>
      <c r="AB252" s="6"/>
      <c r="AC252" s="6"/>
      <c r="AD252" s="6"/>
      <c r="AE252" s="6"/>
    </row>
    <row r="253" spans="22:31" ht="11.25" customHeight="1" x14ac:dyDescent="0.3">
      <c r="V253" s="6"/>
      <c r="W253" s="6"/>
      <c r="X253" s="6"/>
      <c r="Y253" s="6"/>
      <c r="Z253" s="6"/>
      <c r="AA253" s="6"/>
      <c r="AB253" s="6"/>
      <c r="AC253" s="6"/>
      <c r="AD253" s="6"/>
      <c r="AE253" s="6"/>
    </row>
    <row r="254" spans="22:31" ht="11.25" customHeight="1" x14ac:dyDescent="0.3">
      <c r="V254" s="6"/>
      <c r="W254" s="6"/>
      <c r="X254" s="6"/>
      <c r="Y254" s="6"/>
      <c r="Z254" s="6"/>
      <c r="AA254" s="6"/>
      <c r="AB254" s="6"/>
      <c r="AC254" s="6"/>
      <c r="AD254" s="6"/>
      <c r="AE254" s="6"/>
    </row>
    <row r="255" spans="22:31" ht="11.25" customHeight="1" x14ac:dyDescent="0.3">
      <c r="V255" s="6"/>
      <c r="W255" s="6"/>
      <c r="X255" s="6"/>
      <c r="Y255" s="6"/>
      <c r="Z255" s="6"/>
      <c r="AA255" s="6"/>
      <c r="AB255" s="6"/>
      <c r="AC255" s="6"/>
      <c r="AD255" s="6"/>
      <c r="AE255" s="6"/>
    </row>
    <row r="256" spans="22:31" ht="11.25" customHeight="1" x14ac:dyDescent="0.3">
      <c r="V256" s="6"/>
      <c r="W256" s="6"/>
      <c r="X256" s="6"/>
      <c r="Y256" s="6"/>
      <c r="Z256" s="6"/>
      <c r="AA256" s="6"/>
      <c r="AB256" s="6"/>
      <c r="AC256" s="6"/>
      <c r="AD256" s="6"/>
      <c r="AE256" s="6"/>
    </row>
    <row r="257" spans="22:31" ht="11.25" customHeight="1" x14ac:dyDescent="0.3">
      <c r="V257" s="6"/>
      <c r="W257" s="6"/>
      <c r="X257" s="6"/>
      <c r="Y257" s="6"/>
      <c r="Z257" s="6"/>
      <c r="AA257" s="6"/>
      <c r="AB257" s="6"/>
      <c r="AC257" s="6"/>
      <c r="AD257" s="6"/>
      <c r="AE257" s="6"/>
    </row>
    <row r="258" spans="22:31" ht="11.25" customHeight="1" x14ac:dyDescent="0.3">
      <c r="V258" s="6"/>
      <c r="W258" s="6"/>
      <c r="X258" s="6"/>
      <c r="Y258" s="6"/>
      <c r="Z258" s="6"/>
      <c r="AA258" s="6"/>
      <c r="AB258" s="6"/>
      <c r="AC258" s="6"/>
      <c r="AD258" s="6"/>
      <c r="AE258" s="6"/>
    </row>
    <row r="259" spans="22:31" ht="11.25" customHeight="1" x14ac:dyDescent="0.3">
      <c r="V259" s="6"/>
      <c r="W259" s="6"/>
      <c r="X259" s="6"/>
      <c r="Y259" s="6"/>
      <c r="Z259" s="6"/>
      <c r="AA259" s="6"/>
      <c r="AB259" s="6"/>
      <c r="AC259" s="6"/>
      <c r="AD259" s="6"/>
      <c r="AE259" s="6"/>
    </row>
    <row r="260" spans="22:31" ht="11.25" customHeight="1" x14ac:dyDescent="0.3">
      <c r="V260" s="6"/>
      <c r="W260" s="6"/>
      <c r="X260" s="6"/>
      <c r="Y260" s="6"/>
      <c r="Z260" s="6"/>
      <c r="AA260" s="6"/>
      <c r="AB260" s="6"/>
      <c r="AC260" s="6"/>
      <c r="AD260" s="6"/>
      <c r="AE260" s="6"/>
    </row>
    <row r="261" spans="22:31" ht="11.25" customHeight="1" x14ac:dyDescent="0.3">
      <c r="V261" s="6"/>
      <c r="W261" s="6"/>
      <c r="X261" s="6"/>
      <c r="Y261" s="6"/>
      <c r="Z261" s="6"/>
      <c r="AA261" s="6"/>
      <c r="AB261" s="6"/>
      <c r="AC261" s="6"/>
      <c r="AD261" s="6"/>
      <c r="AE261" s="6"/>
    </row>
    <row r="262" spans="22:31" ht="11.25" customHeight="1" x14ac:dyDescent="0.3">
      <c r="V262" s="6"/>
      <c r="W262" s="6"/>
      <c r="X262" s="6"/>
      <c r="Y262" s="6"/>
      <c r="Z262" s="6"/>
      <c r="AA262" s="6"/>
      <c r="AB262" s="6"/>
      <c r="AC262" s="6"/>
      <c r="AD262" s="6"/>
      <c r="AE262" s="6"/>
    </row>
    <row r="263" spans="22:31" ht="11.25" customHeight="1" x14ac:dyDescent="0.3">
      <c r="V263" s="6"/>
      <c r="W263" s="6"/>
      <c r="X263" s="6"/>
      <c r="Y263" s="6"/>
      <c r="Z263" s="6"/>
      <c r="AA263" s="6"/>
      <c r="AB263" s="6"/>
      <c r="AC263" s="6"/>
      <c r="AD263" s="6"/>
      <c r="AE263" s="6"/>
    </row>
    <row r="264" spans="22:31" ht="11.25" customHeight="1" x14ac:dyDescent="0.3">
      <c r="V264" s="6"/>
      <c r="W264" s="6"/>
      <c r="X264" s="6"/>
      <c r="Y264" s="6"/>
      <c r="Z264" s="6"/>
      <c r="AA264" s="6"/>
      <c r="AB264" s="6"/>
      <c r="AC264" s="6"/>
      <c r="AD264" s="6"/>
      <c r="AE264" s="6"/>
    </row>
    <row r="265" spans="22:31" ht="11.25" customHeight="1" x14ac:dyDescent="0.3">
      <c r="V265" s="6"/>
      <c r="W265" s="6"/>
      <c r="X265" s="6"/>
      <c r="Y265" s="6"/>
      <c r="Z265" s="6"/>
      <c r="AA265" s="6"/>
      <c r="AB265" s="6"/>
      <c r="AC265" s="6"/>
      <c r="AD265" s="6"/>
      <c r="AE265" s="6"/>
    </row>
    <row r="266" spans="22:31" ht="11.25" customHeight="1" x14ac:dyDescent="0.3">
      <c r="V266" s="6"/>
      <c r="W266" s="6"/>
      <c r="X266" s="6"/>
      <c r="Y266" s="6"/>
      <c r="Z266" s="6"/>
      <c r="AA266" s="6"/>
      <c r="AB266" s="6"/>
      <c r="AC266" s="6"/>
      <c r="AD266" s="6"/>
      <c r="AE266" s="6"/>
    </row>
    <row r="267" spans="22:31" ht="11.25" customHeight="1" x14ac:dyDescent="0.3">
      <c r="V267" s="6"/>
      <c r="W267" s="6"/>
      <c r="X267" s="6"/>
      <c r="Y267" s="6"/>
      <c r="Z267" s="6"/>
      <c r="AA267" s="6"/>
      <c r="AB267" s="6"/>
      <c r="AC267" s="6"/>
      <c r="AD267" s="6"/>
      <c r="AE267" s="6"/>
    </row>
    <row r="268" spans="22:31" ht="11.25" customHeight="1" x14ac:dyDescent="0.3">
      <c r="V268" s="6"/>
      <c r="W268" s="6"/>
      <c r="X268" s="6"/>
      <c r="Y268" s="6"/>
      <c r="Z268" s="6"/>
      <c r="AA268" s="6"/>
      <c r="AB268" s="6"/>
      <c r="AC268" s="6"/>
      <c r="AD268" s="6"/>
      <c r="AE268" s="6"/>
    </row>
    <row r="269" spans="22:31" ht="11.25" customHeight="1" x14ac:dyDescent="0.3">
      <c r="V269" s="6"/>
      <c r="W269" s="6"/>
      <c r="X269" s="6"/>
      <c r="Y269" s="6"/>
      <c r="Z269" s="6"/>
      <c r="AA269" s="6"/>
      <c r="AB269" s="6"/>
      <c r="AC269" s="6"/>
      <c r="AD269" s="6"/>
      <c r="AE269" s="6"/>
    </row>
    <row r="270" spans="22:31" ht="11.25" customHeight="1" x14ac:dyDescent="0.3">
      <c r="V270" s="6"/>
      <c r="W270" s="6"/>
      <c r="X270" s="6"/>
      <c r="Y270" s="6"/>
      <c r="Z270" s="6"/>
      <c r="AA270" s="6"/>
      <c r="AB270" s="6"/>
      <c r="AC270" s="6"/>
      <c r="AD270" s="6"/>
      <c r="AE270" s="6"/>
    </row>
    <row r="271" spans="22:31" ht="11.25" customHeight="1" x14ac:dyDescent="0.3">
      <c r="V271" s="6"/>
      <c r="W271" s="6"/>
      <c r="X271" s="6"/>
      <c r="Y271" s="6"/>
      <c r="Z271" s="6"/>
      <c r="AA271" s="6"/>
      <c r="AB271" s="6"/>
      <c r="AC271" s="6"/>
      <c r="AD271" s="6"/>
      <c r="AE271" s="6"/>
    </row>
    <row r="272" spans="22:31" ht="11.25" customHeight="1" x14ac:dyDescent="0.3">
      <c r="V272" s="6"/>
      <c r="W272" s="6"/>
      <c r="X272" s="6"/>
      <c r="Y272" s="6"/>
      <c r="Z272" s="6"/>
      <c r="AA272" s="6"/>
      <c r="AB272" s="6"/>
      <c r="AC272" s="6"/>
      <c r="AD272" s="6"/>
      <c r="AE272" s="6"/>
    </row>
    <row r="273" spans="22:31" ht="11.25" customHeight="1" x14ac:dyDescent="0.3">
      <c r="V273" s="6"/>
      <c r="W273" s="6"/>
      <c r="X273" s="6"/>
      <c r="Y273" s="6"/>
      <c r="Z273" s="6"/>
      <c r="AA273" s="6"/>
      <c r="AB273" s="6"/>
      <c r="AC273" s="6"/>
      <c r="AD273" s="6"/>
      <c r="AE273" s="6"/>
    </row>
    <row r="274" spans="22:31" ht="11.25" customHeight="1" x14ac:dyDescent="0.3">
      <c r="V274" s="6"/>
      <c r="W274" s="6"/>
      <c r="X274" s="6"/>
      <c r="Y274" s="6"/>
      <c r="Z274" s="6"/>
      <c r="AA274" s="6"/>
      <c r="AB274" s="6"/>
      <c r="AC274" s="6"/>
      <c r="AD274" s="6"/>
      <c r="AE274" s="6"/>
    </row>
    <row r="275" spans="22:31" ht="11.25" customHeight="1" x14ac:dyDescent="0.3">
      <c r="V275" s="6"/>
      <c r="W275" s="6"/>
      <c r="X275" s="6"/>
      <c r="Y275" s="6"/>
      <c r="Z275" s="6"/>
      <c r="AA275" s="6"/>
      <c r="AB275" s="6"/>
      <c r="AC275" s="6"/>
      <c r="AD275" s="6"/>
      <c r="AE275" s="6"/>
    </row>
    <row r="276" spans="22:31" ht="11.25" customHeight="1" x14ac:dyDescent="0.3">
      <c r="V276" s="6"/>
      <c r="W276" s="6"/>
      <c r="X276" s="6"/>
      <c r="Y276" s="6"/>
      <c r="Z276" s="6"/>
      <c r="AA276" s="6"/>
      <c r="AB276" s="6"/>
      <c r="AC276" s="6"/>
      <c r="AD276" s="6"/>
      <c r="AE276" s="6"/>
    </row>
    <row r="277" spans="22:31" ht="11.25" customHeight="1" x14ac:dyDescent="0.3">
      <c r="V277" s="6"/>
      <c r="W277" s="6"/>
      <c r="X277" s="6"/>
      <c r="Y277" s="6"/>
      <c r="Z277" s="6"/>
      <c r="AA277" s="6"/>
      <c r="AB277" s="6"/>
      <c r="AC277" s="6"/>
      <c r="AD277" s="6"/>
      <c r="AE277" s="6"/>
    </row>
    <row r="278" spans="22:31" ht="11.25" customHeight="1" x14ac:dyDescent="0.3">
      <c r="V278" s="6"/>
      <c r="W278" s="6"/>
      <c r="X278" s="6"/>
      <c r="Y278" s="6"/>
      <c r="Z278" s="6"/>
      <c r="AA278" s="6"/>
      <c r="AB278" s="6"/>
      <c r="AC278" s="6"/>
      <c r="AD278" s="6"/>
      <c r="AE278" s="6"/>
    </row>
    <row r="279" spans="22:31" ht="11.25" customHeight="1" x14ac:dyDescent="0.3">
      <c r="V279" s="6"/>
      <c r="W279" s="6"/>
      <c r="X279" s="6"/>
      <c r="Y279" s="6"/>
      <c r="Z279" s="6"/>
      <c r="AA279" s="6"/>
      <c r="AB279" s="6"/>
      <c r="AC279" s="6"/>
      <c r="AD279" s="6"/>
      <c r="AE279" s="6"/>
    </row>
    <row r="280" spans="22:31" ht="11.25" customHeight="1" x14ac:dyDescent="0.3">
      <c r="V280" s="6"/>
      <c r="W280" s="6"/>
      <c r="X280" s="6"/>
      <c r="Y280" s="6"/>
      <c r="Z280" s="6"/>
      <c r="AA280" s="6"/>
      <c r="AB280" s="6"/>
      <c r="AC280" s="6"/>
      <c r="AD280" s="6"/>
      <c r="AE280" s="6"/>
    </row>
    <row r="281" spans="22:31" ht="11.25" customHeight="1" x14ac:dyDescent="0.3">
      <c r="V281" s="6"/>
      <c r="W281" s="6"/>
      <c r="X281" s="6"/>
      <c r="Y281" s="6"/>
      <c r="Z281" s="6"/>
      <c r="AA281" s="6"/>
      <c r="AB281" s="6"/>
      <c r="AC281" s="6"/>
      <c r="AD281" s="6"/>
      <c r="AE281" s="6"/>
    </row>
    <row r="282" spans="22:31" ht="11.25" customHeight="1" x14ac:dyDescent="0.3">
      <c r="V282" s="6"/>
      <c r="W282" s="6"/>
      <c r="X282" s="6"/>
      <c r="Y282" s="6"/>
      <c r="Z282" s="6"/>
      <c r="AA282" s="6"/>
      <c r="AB282" s="6"/>
      <c r="AC282" s="6"/>
      <c r="AD282" s="6"/>
      <c r="AE282" s="6"/>
    </row>
    <row r="283" spans="22:31" ht="11.25" customHeight="1" x14ac:dyDescent="0.3">
      <c r="V283" s="6"/>
      <c r="W283" s="6"/>
      <c r="X283" s="6"/>
      <c r="Y283" s="6"/>
      <c r="Z283" s="6"/>
      <c r="AA283" s="6"/>
      <c r="AB283" s="6"/>
      <c r="AC283" s="6"/>
      <c r="AD283" s="6"/>
      <c r="AE283" s="6"/>
    </row>
    <row r="284" spans="22:31" ht="11.25" customHeight="1" x14ac:dyDescent="0.3">
      <c r="V284" s="6"/>
      <c r="W284" s="6"/>
      <c r="X284" s="6"/>
      <c r="Y284" s="6"/>
      <c r="Z284" s="6"/>
      <c r="AA284" s="6"/>
      <c r="AB284" s="6"/>
      <c r="AC284" s="6"/>
      <c r="AD284" s="6"/>
      <c r="AE284" s="6"/>
    </row>
    <row r="285" spans="22:31" ht="11.25" customHeight="1" x14ac:dyDescent="0.3">
      <c r="V285" s="6"/>
      <c r="W285" s="6"/>
      <c r="X285" s="6"/>
      <c r="Y285" s="6"/>
      <c r="Z285" s="6"/>
      <c r="AA285" s="6"/>
      <c r="AB285" s="6"/>
      <c r="AC285" s="6"/>
      <c r="AD285" s="6"/>
      <c r="AE285" s="6"/>
    </row>
    <row r="286" spans="22:31" ht="11.25" customHeight="1" x14ac:dyDescent="0.3">
      <c r="V286" s="6"/>
      <c r="W286" s="6"/>
      <c r="X286" s="6"/>
      <c r="Y286" s="6"/>
      <c r="Z286" s="6"/>
      <c r="AA286" s="6"/>
      <c r="AB286" s="6"/>
      <c r="AC286" s="6"/>
      <c r="AD286" s="6"/>
      <c r="AE286" s="6"/>
    </row>
    <row r="287" spans="22:31" ht="11.25" customHeight="1" x14ac:dyDescent="0.3">
      <c r="V287" s="6"/>
      <c r="W287" s="6"/>
      <c r="X287" s="6"/>
      <c r="Y287" s="6"/>
      <c r="Z287" s="6"/>
      <c r="AA287" s="6"/>
      <c r="AB287" s="6"/>
      <c r="AC287" s="6"/>
      <c r="AD287" s="6"/>
      <c r="AE287" s="6"/>
    </row>
    <row r="288" spans="22:31" ht="11.25" customHeight="1" x14ac:dyDescent="0.3">
      <c r="V288" s="6"/>
      <c r="W288" s="6"/>
      <c r="X288" s="6"/>
      <c r="Y288" s="6"/>
      <c r="Z288" s="6"/>
      <c r="AA288" s="6"/>
      <c r="AB288" s="6"/>
      <c r="AC288" s="6"/>
      <c r="AD288" s="6"/>
      <c r="AE288" s="6"/>
    </row>
    <row r="289" spans="22:31" ht="11.25" customHeight="1" x14ac:dyDescent="0.3">
      <c r="V289" s="6"/>
      <c r="W289" s="6"/>
      <c r="X289" s="6"/>
      <c r="Y289" s="6"/>
      <c r="Z289" s="6"/>
      <c r="AA289" s="6"/>
      <c r="AB289" s="6"/>
      <c r="AC289" s="6"/>
      <c r="AD289" s="6"/>
      <c r="AE289" s="6"/>
    </row>
    <row r="290" spans="22:31" ht="11.25" customHeight="1" x14ac:dyDescent="0.3">
      <c r="V290" s="6"/>
      <c r="W290" s="6"/>
      <c r="X290" s="6"/>
      <c r="Y290" s="6"/>
      <c r="Z290" s="6"/>
      <c r="AA290" s="6"/>
      <c r="AB290" s="6"/>
      <c r="AC290" s="6"/>
      <c r="AD290" s="6"/>
      <c r="AE290" s="6"/>
    </row>
    <row r="291" spans="22:31" ht="11.25" customHeight="1" x14ac:dyDescent="0.3">
      <c r="V291" s="6"/>
      <c r="W291" s="6"/>
      <c r="X291" s="6"/>
      <c r="Y291" s="6"/>
      <c r="Z291" s="6"/>
      <c r="AA291" s="6"/>
      <c r="AB291" s="6"/>
      <c r="AC291" s="6"/>
      <c r="AD291" s="6"/>
      <c r="AE291" s="6"/>
    </row>
    <row r="292" spans="22:31" ht="11.25" customHeight="1" x14ac:dyDescent="0.3">
      <c r="V292" s="6"/>
      <c r="W292" s="6"/>
      <c r="X292" s="6"/>
      <c r="Y292" s="6"/>
      <c r="Z292" s="6"/>
      <c r="AA292" s="6"/>
      <c r="AB292" s="6"/>
      <c r="AC292" s="6"/>
      <c r="AD292" s="6"/>
      <c r="AE292" s="6"/>
    </row>
    <row r="293" spans="22:31" ht="11.25" customHeight="1" x14ac:dyDescent="0.3">
      <c r="V293" s="6"/>
      <c r="W293" s="6"/>
      <c r="X293" s="6"/>
      <c r="Y293" s="6"/>
      <c r="Z293" s="6"/>
      <c r="AA293" s="6"/>
      <c r="AB293" s="6"/>
      <c r="AC293" s="6"/>
      <c r="AD293" s="6"/>
      <c r="AE293" s="6"/>
    </row>
    <row r="294" spans="22:31" ht="11.25" customHeight="1" x14ac:dyDescent="0.3">
      <c r="V294" s="6"/>
      <c r="W294" s="6"/>
      <c r="X294" s="6"/>
      <c r="Y294" s="6"/>
      <c r="Z294" s="6"/>
      <c r="AA294" s="6"/>
      <c r="AB294" s="6"/>
      <c r="AC294" s="6"/>
      <c r="AD294" s="6"/>
      <c r="AE294" s="6"/>
    </row>
    <row r="295" spans="22:31" ht="11.25" customHeight="1" x14ac:dyDescent="0.3">
      <c r="V295" s="6"/>
      <c r="W295" s="6"/>
      <c r="X295" s="6"/>
      <c r="Y295" s="6"/>
      <c r="Z295" s="6"/>
      <c r="AA295" s="6"/>
      <c r="AB295" s="6"/>
      <c r="AC295" s="6"/>
      <c r="AD295" s="6"/>
      <c r="AE295" s="6"/>
    </row>
    <row r="296" spans="22:31" ht="11.25" customHeight="1" x14ac:dyDescent="0.3">
      <c r="V296" s="6"/>
      <c r="W296" s="6"/>
      <c r="X296" s="6"/>
      <c r="Y296" s="6"/>
      <c r="Z296" s="6"/>
      <c r="AA296" s="6"/>
      <c r="AB296" s="6"/>
      <c r="AC296" s="6"/>
      <c r="AD296" s="6"/>
      <c r="AE296" s="6"/>
    </row>
    <row r="297" spans="22:31" ht="11.25" customHeight="1" x14ac:dyDescent="0.3">
      <c r="V297" s="6"/>
      <c r="W297" s="6"/>
      <c r="X297" s="6"/>
      <c r="Y297" s="6"/>
      <c r="Z297" s="6"/>
      <c r="AA297" s="6"/>
      <c r="AB297" s="6"/>
      <c r="AC297" s="6"/>
      <c r="AD297" s="6"/>
      <c r="AE297" s="6"/>
    </row>
    <row r="298" spans="22:31" ht="11.25" customHeight="1" x14ac:dyDescent="0.3">
      <c r="V298" s="6"/>
      <c r="W298" s="6"/>
      <c r="X298" s="6"/>
      <c r="Y298" s="6"/>
      <c r="Z298" s="6"/>
      <c r="AA298" s="6"/>
      <c r="AB298" s="6"/>
      <c r="AC298" s="6"/>
      <c r="AD298" s="6"/>
      <c r="AE298" s="6"/>
    </row>
    <row r="299" spans="22:31" ht="11.25" customHeight="1" x14ac:dyDescent="0.3">
      <c r="V299" s="6"/>
      <c r="W299" s="6"/>
      <c r="X299" s="6"/>
      <c r="Y299" s="6"/>
      <c r="Z299" s="6"/>
      <c r="AA299" s="6"/>
      <c r="AB299" s="6"/>
      <c r="AC299" s="6"/>
      <c r="AD299" s="6"/>
      <c r="AE299" s="6"/>
    </row>
    <row r="300" spans="22:31" ht="11.25" customHeight="1" x14ac:dyDescent="0.3">
      <c r="V300" s="6"/>
      <c r="W300" s="6"/>
      <c r="X300" s="6"/>
      <c r="Y300" s="6"/>
      <c r="Z300" s="6"/>
      <c r="AA300" s="6"/>
      <c r="AB300" s="6"/>
      <c r="AC300" s="6"/>
      <c r="AD300" s="6"/>
      <c r="AE300" s="6"/>
    </row>
    <row r="301" spans="22:31" ht="11.25" customHeight="1" x14ac:dyDescent="0.3">
      <c r="V301" s="6"/>
      <c r="W301" s="6"/>
      <c r="X301" s="6"/>
      <c r="Y301" s="6"/>
      <c r="Z301" s="6"/>
      <c r="AA301" s="6"/>
      <c r="AB301" s="6"/>
      <c r="AC301" s="6"/>
      <c r="AD301" s="6"/>
      <c r="AE301" s="6"/>
    </row>
    <row r="302" spans="22:31" ht="11.25" customHeight="1" x14ac:dyDescent="0.3">
      <c r="V302" s="6"/>
      <c r="W302" s="6"/>
      <c r="X302" s="6"/>
      <c r="Y302" s="6"/>
      <c r="Z302" s="6"/>
      <c r="AA302" s="6"/>
      <c r="AB302" s="6"/>
      <c r="AC302" s="6"/>
      <c r="AD302" s="6"/>
      <c r="AE302" s="6"/>
    </row>
    <row r="303" spans="22:31" ht="11.25" customHeight="1" x14ac:dyDescent="0.3">
      <c r="V303" s="6"/>
      <c r="W303" s="6"/>
      <c r="X303" s="6"/>
      <c r="Y303" s="6"/>
      <c r="Z303" s="6"/>
      <c r="AA303" s="6"/>
      <c r="AB303" s="6"/>
      <c r="AC303" s="6"/>
      <c r="AD303" s="6"/>
      <c r="AE303" s="6"/>
    </row>
    <row r="304" spans="22:31" ht="11.25" customHeight="1" x14ac:dyDescent="0.3">
      <c r="V304" s="6"/>
      <c r="W304" s="6"/>
      <c r="X304" s="6"/>
      <c r="Y304" s="6"/>
      <c r="Z304" s="6"/>
      <c r="AA304" s="6"/>
      <c r="AB304" s="6"/>
      <c r="AC304" s="6"/>
      <c r="AD304" s="6"/>
      <c r="AE304" s="6"/>
    </row>
    <row r="305" spans="22:31" ht="11.25" customHeight="1" x14ac:dyDescent="0.3">
      <c r="V305" s="6"/>
      <c r="W305" s="6"/>
      <c r="X305" s="6"/>
      <c r="Y305" s="6"/>
      <c r="Z305" s="6"/>
      <c r="AA305" s="6"/>
      <c r="AB305" s="6"/>
      <c r="AC305" s="6"/>
      <c r="AD305" s="6"/>
      <c r="AE305" s="6"/>
    </row>
    <row r="306" spans="22:31" ht="11.25" customHeight="1" x14ac:dyDescent="0.3">
      <c r="V306" s="6"/>
      <c r="W306" s="6"/>
      <c r="X306" s="6"/>
      <c r="Y306" s="6"/>
      <c r="Z306" s="6"/>
      <c r="AA306" s="6"/>
      <c r="AB306" s="6"/>
      <c r="AC306" s="6"/>
      <c r="AD306" s="6"/>
      <c r="AE306" s="6"/>
    </row>
    <row r="307" spans="22:31" ht="11.25" customHeight="1" x14ac:dyDescent="0.3">
      <c r="V307" s="6"/>
      <c r="W307" s="6"/>
      <c r="X307" s="6"/>
      <c r="Y307" s="6"/>
      <c r="Z307" s="6"/>
      <c r="AA307" s="6"/>
      <c r="AB307" s="6"/>
      <c r="AC307" s="6"/>
      <c r="AD307" s="6"/>
      <c r="AE307" s="6"/>
    </row>
    <row r="308" spans="22:31" ht="11.25" customHeight="1" x14ac:dyDescent="0.3">
      <c r="V308" s="6"/>
      <c r="W308" s="6"/>
      <c r="X308" s="6"/>
      <c r="Y308" s="6"/>
      <c r="Z308" s="6"/>
      <c r="AA308" s="6"/>
      <c r="AB308" s="6"/>
      <c r="AC308" s="6"/>
      <c r="AD308" s="6"/>
      <c r="AE308" s="6"/>
    </row>
    <row r="309" spans="22:31" ht="11.25" customHeight="1" x14ac:dyDescent="0.3">
      <c r="V309" s="6"/>
      <c r="W309" s="6"/>
      <c r="X309" s="6"/>
      <c r="Y309" s="6"/>
      <c r="Z309" s="6"/>
      <c r="AA309" s="6"/>
      <c r="AB309" s="6"/>
      <c r="AC309" s="6"/>
      <c r="AD309" s="6"/>
      <c r="AE309" s="6"/>
    </row>
    <row r="310" spans="22:31" ht="11.25" customHeight="1" x14ac:dyDescent="0.3">
      <c r="V310" s="6"/>
      <c r="W310" s="6"/>
      <c r="X310" s="6"/>
      <c r="Y310" s="6"/>
      <c r="Z310" s="6"/>
      <c r="AA310" s="6"/>
      <c r="AB310" s="6"/>
      <c r="AC310" s="6"/>
      <c r="AD310" s="6"/>
      <c r="AE310" s="6"/>
    </row>
    <row r="311" spans="22:31" ht="11.25" customHeight="1" x14ac:dyDescent="0.3">
      <c r="V311" s="6"/>
      <c r="W311" s="6"/>
      <c r="X311" s="6"/>
      <c r="Y311" s="6"/>
      <c r="Z311" s="6"/>
      <c r="AA311" s="6"/>
      <c r="AB311" s="6"/>
      <c r="AC311" s="6"/>
      <c r="AD311" s="6"/>
      <c r="AE311" s="6"/>
    </row>
    <row r="312" spans="22:31" ht="11.25" customHeight="1" x14ac:dyDescent="0.3">
      <c r="V312" s="6"/>
      <c r="W312" s="6"/>
      <c r="X312" s="6"/>
      <c r="Y312" s="6"/>
      <c r="Z312" s="6"/>
      <c r="AA312" s="6"/>
      <c r="AB312" s="6"/>
      <c r="AC312" s="6"/>
      <c r="AD312" s="6"/>
      <c r="AE312" s="6"/>
    </row>
    <row r="313" spans="22:31" ht="11.25" customHeight="1" x14ac:dyDescent="0.3">
      <c r="V313" s="6"/>
      <c r="W313" s="6"/>
      <c r="X313" s="6"/>
      <c r="Y313" s="6"/>
      <c r="Z313" s="6"/>
      <c r="AA313" s="6"/>
      <c r="AB313" s="6"/>
      <c r="AC313" s="6"/>
      <c r="AD313" s="6"/>
      <c r="AE313" s="6"/>
    </row>
    <row r="314" spans="22:31" ht="11.25" customHeight="1" x14ac:dyDescent="0.3">
      <c r="V314" s="6"/>
      <c r="W314" s="6"/>
      <c r="X314" s="6"/>
      <c r="Y314" s="6"/>
      <c r="Z314" s="6"/>
      <c r="AA314" s="6"/>
      <c r="AB314" s="6"/>
      <c r="AC314" s="6"/>
      <c r="AD314" s="6"/>
      <c r="AE314" s="6"/>
    </row>
    <row r="315" spans="22:31" ht="11.25" customHeight="1" x14ac:dyDescent="0.3">
      <c r="V315" s="6"/>
      <c r="W315" s="6"/>
      <c r="X315" s="6"/>
      <c r="Y315" s="6"/>
      <c r="Z315" s="6"/>
      <c r="AA315" s="6"/>
      <c r="AB315" s="6"/>
      <c r="AC315" s="6"/>
      <c r="AD315" s="6"/>
      <c r="AE315" s="6"/>
    </row>
    <row r="316" spans="22:31" ht="11.25" customHeight="1" x14ac:dyDescent="0.3">
      <c r="V316" s="6"/>
      <c r="W316" s="6"/>
      <c r="X316" s="6"/>
      <c r="Y316" s="6"/>
      <c r="Z316" s="6"/>
      <c r="AA316" s="6"/>
      <c r="AB316" s="6"/>
      <c r="AC316" s="6"/>
      <c r="AD316" s="6"/>
      <c r="AE316" s="6"/>
    </row>
    <row r="317" spans="22:31" ht="11.25" customHeight="1" x14ac:dyDescent="0.3">
      <c r="V317" s="6"/>
      <c r="W317" s="6"/>
      <c r="X317" s="6"/>
      <c r="Y317" s="6"/>
      <c r="Z317" s="6"/>
      <c r="AA317" s="6"/>
      <c r="AB317" s="6"/>
      <c r="AC317" s="6"/>
      <c r="AD317" s="6"/>
      <c r="AE317" s="6"/>
    </row>
    <row r="318" spans="22:31" ht="11.25" customHeight="1" x14ac:dyDescent="0.3">
      <c r="V318" s="6"/>
      <c r="W318" s="6"/>
      <c r="X318" s="6"/>
      <c r="Y318" s="6"/>
      <c r="Z318" s="6"/>
      <c r="AA318" s="6"/>
      <c r="AB318" s="6"/>
      <c r="AC318" s="6"/>
      <c r="AD318" s="6"/>
      <c r="AE318" s="6"/>
    </row>
    <row r="319" spans="22:31" ht="11.25" customHeight="1" x14ac:dyDescent="0.3">
      <c r="V319" s="6"/>
      <c r="W319" s="6"/>
      <c r="X319" s="6"/>
      <c r="Y319" s="6"/>
      <c r="Z319" s="6"/>
      <c r="AA319" s="6"/>
      <c r="AB319" s="6"/>
      <c r="AC319" s="6"/>
      <c r="AD319" s="6"/>
      <c r="AE319" s="6"/>
    </row>
    <row r="320" spans="22:31" ht="11.25" customHeight="1" x14ac:dyDescent="0.3">
      <c r="V320" s="6"/>
      <c r="W320" s="6"/>
      <c r="X320" s="6"/>
      <c r="Y320" s="6"/>
      <c r="Z320" s="6"/>
      <c r="AA320" s="6"/>
      <c r="AB320" s="6"/>
      <c r="AC320" s="6"/>
      <c r="AD320" s="6"/>
      <c r="AE320" s="6"/>
    </row>
    <row r="321" spans="22:31" ht="11.25" customHeight="1" x14ac:dyDescent="0.3">
      <c r="V321" s="6"/>
      <c r="W321" s="6"/>
      <c r="X321" s="6"/>
      <c r="Y321" s="6"/>
      <c r="Z321" s="6"/>
      <c r="AA321" s="6"/>
      <c r="AB321" s="6"/>
      <c r="AC321" s="6"/>
      <c r="AD321" s="6"/>
      <c r="AE321" s="6"/>
    </row>
    <row r="322" spans="22:31" ht="11.25" customHeight="1" x14ac:dyDescent="0.3">
      <c r="V322" s="6"/>
      <c r="W322" s="6"/>
      <c r="X322" s="6"/>
      <c r="Y322" s="6"/>
      <c r="Z322" s="6"/>
      <c r="AA322" s="6"/>
      <c r="AB322" s="6"/>
      <c r="AC322" s="6"/>
      <c r="AD322" s="6"/>
      <c r="AE322" s="6"/>
    </row>
    <row r="323" spans="22:31" ht="11.25" customHeight="1" x14ac:dyDescent="0.3">
      <c r="V323" s="6"/>
      <c r="W323" s="6"/>
      <c r="X323" s="6"/>
      <c r="Y323" s="6"/>
      <c r="Z323" s="6"/>
      <c r="AA323" s="6"/>
      <c r="AB323" s="6"/>
      <c r="AC323" s="6"/>
      <c r="AD323" s="6"/>
      <c r="AE323" s="6"/>
    </row>
    <row r="324" spans="22:31" ht="11.25" customHeight="1" x14ac:dyDescent="0.3">
      <c r="V324" s="6"/>
      <c r="W324" s="6"/>
      <c r="X324" s="6"/>
      <c r="Y324" s="6"/>
      <c r="Z324" s="6"/>
      <c r="AA324" s="6"/>
      <c r="AB324" s="6"/>
      <c r="AC324" s="6"/>
      <c r="AD324" s="6"/>
      <c r="AE324" s="6"/>
    </row>
    <row r="325" spans="22:31" ht="11.25" customHeight="1" x14ac:dyDescent="0.3">
      <c r="V325" s="6"/>
      <c r="W325" s="6"/>
      <c r="X325" s="6"/>
      <c r="Y325" s="6"/>
      <c r="Z325" s="6"/>
      <c r="AA325" s="6"/>
      <c r="AB325" s="6"/>
      <c r="AC325" s="6"/>
      <c r="AD325" s="6"/>
      <c r="AE325" s="6"/>
    </row>
    <row r="326" spans="22:31" ht="11.25" customHeight="1" x14ac:dyDescent="0.3">
      <c r="V326" s="6"/>
      <c r="W326" s="6"/>
      <c r="X326" s="6"/>
      <c r="Y326" s="6"/>
      <c r="Z326" s="6"/>
      <c r="AA326" s="6"/>
      <c r="AB326" s="6"/>
      <c r="AC326" s="6"/>
      <c r="AD326" s="6"/>
      <c r="AE326" s="6"/>
    </row>
    <row r="327" spans="22:31" ht="11.25" customHeight="1" x14ac:dyDescent="0.3">
      <c r="V327" s="6"/>
      <c r="W327" s="6"/>
      <c r="X327" s="6"/>
      <c r="Y327" s="6"/>
      <c r="Z327" s="6"/>
      <c r="AA327" s="6"/>
      <c r="AB327" s="6"/>
      <c r="AC327" s="6"/>
      <c r="AD327" s="6"/>
      <c r="AE327" s="6"/>
    </row>
    <row r="328" spans="22:31" ht="11.25" customHeight="1" x14ac:dyDescent="0.3">
      <c r="V328" s="6"/>
      <c r="W328" s="6"/>
      <c r="X328" s="6"/>
      <c r="Y328" s="6"/>
      <c r="Z328" s="6"/>
      <c r="AA328" s="6"/>
      <c r="AB328" s="6"/>
      <c r="AC328" s="6"/>
      <c r="AD328" s="6"/>
      <c r="AE328" s="6"/>
    </row>
    <row r="329" spans="22:31" ht="11.25" customHeight="1" x14ac:dyDescent="0.3">
      <c r="V329" s="6"/>
      <c r="W329" s="6"/>
      <c r="X329" s="6"/>
      <c r="Y329" s="6"/>
      <c r="Z329" s="6"/>
      <c r="AA329" s="6"/>
      <c r="AB329" s="6"/>
      <c r="AC329" s="6"/>
      <c r="AD329" s="6"/>
      <c r="AE329" s="6"/>
    </row>
    <row r="330" spans="22:31" ht="11.25" customHeight="1" x14ac:dyDescent="0.3">
      <c r="V330" s="6"/>
      <c r="W330" s="6"/>
      <c r="X330" s="6"/>
      <c r="Y330" s="6"/>
      <c r="Z330" s="6"/>
      <c r="AA330" s="6"/>
      <c r="AB330" s="6"/>
      <c r="AC330" s="6"/>
      <c r="AD330" s="6"/>
      <c r="AE330" s="6"/>
    </row>
    <row r="331" spans="22:31" ht="11.25" customHeight="1" x14ac:dyDescent="0.3">
      <c r="V331" s="6"/>
      <c r="W331" s="6"/>
      <c r="X331" s="6"/>
      <c r="Y331" s="6"/>
      <c r="Z331" s="6"/>
      <c r="AA331" s="6"/>
      <c r="AB331" s="6"/>
      <c r="AC331" s="6"/>
      <c r="AD331" s="6"/>
      <c r="AE331" s="6"/>
    </row>
    <row r="332" spans="22:31" ht="11.25" customHeight="1" x14ac:dyDescent="0.3">
      <c r="V332" s="6"/>
      <c r="W332" s="6"/>
      <c r="X332" s="6"/>
      <c r="Y332" s="6"/>
      <c r="Z332" s="6"/>
      <c r="AA332" s="6"/>
      <c r="AB332" s="6"/>
      <c r="AC332" s="6"/>
      <c r="AD332" s="6"/>
      <c r="AE332" s="6"/>
    </row>
    <row r="333" spans="22:31" ht="11.25" customHeight="1" x14ac:dyDescent="0.3">
      <c r="V333" s="6"/>
      <c r="W333" s="6"/>
      <c r="X333" s="6"/>
      <c r="Y333" s="6"/>
      <c r="Z333" s="6"/>
      <c r="AA333" s="6"/>
      <c r="AB333" s="6"/>
      <c r="AC333" s="6"/>
      <c r="AD333" s="6"/>
      <c r="AE333" s="6"/>
    </row>
    <row r="334" spans="22:31" ht="11.25" customHeight="1" x14ac:dyDescent="0.3">
      <c r="V334" s="6"/>
      <c r="W334" s="6"/>
      <c r="X334" s="6"/>
      <c r="Y334" s="6"/>
      <c r="Z334" s="6"/>
      <c r="AA334" s="6"/>
      <c r="AB334" s="6"/>
      <c r="AC334" s="6"/>
      <c r="AD334" s="6"/>
      <c r="AE334" s="6"/>
    </row>
    <row r="335" spans="22:31" ht="11.25" customHeight="1" x14ac:dyDescent="0.3">
      <c r="V335" s="6"/>
      <c r="W335" s="6"/>
      <c r="X335" s="6"/>
      <c r="Y335" s="6"/>
      <c r="Z335" s="6"/>
      <c r="AA335" s="6"/>
      <c r="AB335" s="6"/>
      <c r="AC335" s="6"/>
      <c r="AD335" s="6"/>
      <c r="AE335" s="6"/>
    </row>
    <row r="336" spans="22:31" ht="11.25" customHeight="1" x14ac:dyDescent="0.3">
      <c r="V336" s="6"/>
      <c r="W336" s="6"/>
      <c r="X336" s="6"/>
      <c r="Y336" s="6"/>
      <c r="Z336" s="6"/>
      <c r="AA336" s="6"/>
      <c r="AB336" s="6"/>
      <c r="AC336" s="6"/>
      <c r="AD336" s="6"/>
      <c r="AE336" s="6"/>
    </row>
    <row r="337" spans="22:31" ht="11.25" customHeight="1" x14ac:dyDescent="0.3">
      <c r="V337" s="6"/>
      <c r="W337" s="6"/>
      <c r="X337" s="6"/>
      <c r="Y337" s="6"/>
      <c r="Z337" s="6"/>
      <c r="AA337" s="6"/>
      <c r="AB337" s="6"/>
      <c r="AC337" s="6"/>
      <c r="AD337" s="6"/>
      <c r="AE337" s="6"/>
    </row>
    <row r="338" spans="22:31" ht="11.25" customHeight="1" x14ac:dyDescent="0.3">
      <c r="V338" s="6"/>
      <c r="W338" s="6"/>
      <c r="X338" s="6"/>
      <c r="Y338" s="6"/>
      <c r="Z338" s="6"/>
      <c r="AA338" s="6"/>
      <c r="AB338" s="6"/>
      <c r="AC338" s="6"/>
      <c r="AD338" s="6"/>
      <c r="AE338" s="6"/>
    </row>
    <row r="339" spans="22:31" ht="11.25" customHeight="1" x14ac:dyDescent="0.3">
      <c r="V339" s="6"/>
      <c r="W339" s="6"/>
      <c r="X339" s="6"/>
      <c r="Y339" s="6"/>
      <c r="Z339" s="6"/>
      <c r="AA339" s="6"/>
      <c r="AB339" s="6"/>
      <c r="AC339" s="6"/>
      <c r="AD339" s="6"/>
      <c r="AE339" s="6"/>
    </row>
    <row r="340" spans="22:31" ht="11.25" customHeight="1" x14ac:dyDescent="0.3">
      <c r="V340" s="6"/>
      <c r="W340" s="6"/>
      <c r="X340" s="6"/>
      <c r="Y340" s="6"/>
      <c r="Z340" s="6"/>
      <c r="AA340" s="6"/>
      <c r="AB340" s="6"/>
      <c r="AC340" s="6"/>
      <c r="AD340" s="6"/>
      <c r="AE340" s="6"/>
    </row>
    <row r="341" spans="22:31" ht="11.25" customHeight="1" x14ac:dyDescent="0.3">
      <c r="V341" s="6"/>
      <c r="W341" s="6"/>
      <c r="X341" s="6"/>
      <c r="Y341" s="6"/>
      <c r="Z341" s="6"/>
      <c r="AA341" s="6"/>
      <c r="AB341" s="6"/>
      <c r="AC341" s="6"/>
      <c r="AD341" s="6"/>
      <c r="AE341" s="6"/>
    </row>
    <row r="342" spans="22:31" ht="11.25" customHeight="1" x14ac:dyDescent="0.3">
      <c r="V342" s="6"/>
      <c r="W342" s="6"/>
      <c r="X342" s="6"/>
      <c r="Y342" s="6"/>
      <c r="Z342" s="6"/>
      <c r="AA342" s="6"/>
      <c r="AB342" s="6"/>
      <c r="AC342" s="6"/>
      <c r="AD342" s="6"/>
      <c r="AE342" s="6"/>
    </row>
    <row r="343" spans="22:31" ht="11.25" customHeight="1" x14ac:dyDescent="0.3">
      <c r="V343" s="6"/>
      <c r="W343" s="6"/>
      <c r="X343" s="6"/>
      <c r="Y343" s="6"/>
      <c r="Z343" s="6"/>
      <c r="AA343" s="6"/>
      <c r="AB343" s="6"/>
      <c r="AC343" s="6"/>
      <c r="AD343" s="6"/>
      <c r="AE343" s="6"/>
    </row>
    <row r="344" spans="22:31" ht="11.25" customHeight="1" x14ac:dyDescent="0.3">
      <c r="V344" s="6"/>
      <c r="W344" s="6"/>
      <c r="X344" s="6"/>
      <c r="Y344" s="6"/>
      <c r="Z344" s="6"/>
      <c r="AA344" s="6"/>
      <c r="AB344" s="6"/>
      <c r="AC344" s="6"/>
      <c r="AD344" s="6"/>
      <c r="AE344" s="6"/>
    </row>
    <row r="345" spans="22:31" ht="11.25" customHeight="1" x14ac:dyDescent="0.3">
      <c r="V345" s="6"/>
      <c r="W345" s="6"/>
      <c r="X345" s="6"/>
      <c r="Y345" s="6"/>
      <c r="Z345" s="6"/>
      <c r="AA345" s="6"/>
      <c r="AB345" s="6"/>
      <c r="AC345" s="6"/>
      <c r="AD345" s="6"/>
      <c r="AE345" s="6"/>
    </row>
    <row r="346" spans="22:31" ht="11.25" customHeight="1" x14ac:dyDescent="0.3">
      <c r="V346" s="6"/>
      <c r="W346" s="6"/>
      <c r="X346" s="6"/>
      <c r="Y346" s="6"/>
      <c r="Z346" s="6"/>
      <c r="AA346" s="6"/>
      <c r="AB346" s="6"/>
      <c r="AC346" s="6"/>
      <c r="AD346" s="6"/>
      <c r="AE346" s="6"/>
    </row>
    <row r="347" spans="22:31" ht="11.25" customHeight="1" x14ac:dyDescent="0.3">
      <c r="V347" s="6"/>
      <c r="W347" s="6"/>
      <c r="X347" s="6"/>
      <c r="Y347" s="6"/>
      <c r="Z347" s="6"/>
      <c r="AA347" s="6"/>
      <c r="AB347" s="6"/>
      <c r="AC347" s="6"/>
      <c r="AD347" s="6"/>
      <c r="AE347" s="6"/>
    </row>
    <row r="348" spans="22:31" ht="11.25" customHeight="1" x14ac:dyDescent="0.3">
      <c r="V348" s="6"/>
      <c r="W348" s="6"/>
      <c r="X348" s="6"/>
      <c r="Y348" s="6"/>
      <c r="Z348" s="6"/>
      <c r="AA348" s="6"/>
      <c r="AB348" s="6"/>
      <c r="AC348" s="6"/>
      <c r="AD348" s="6"/>
      <c r="AE348" s="6"/>
    </row>
    <row r="349" spans="22:31" ht="11.25" customHeight="1" x14ac:dyDescent="0.3">
      <c r="V349" s="6"/>
      <c r="W349" s="6"/>
      <c r="X349" s="6"/>
      <c r="Y349" s="6"/>
      <c r="Z349" s="6"/>
      <c r="AA349" s="6"/>
      <c r="AB349" s="6"/>
      <c r="AC349" s="6"/>
      <c r="AD349" s="6"/>
      <c r="AE349" s="6"/>
    </row>
    <row r="350" spans="22:31" ht="11.25" customHeight="1" x14ac:dyDescent="0.3">
      <c r="V350" s="6"/>
      <c r="W350" s="6"/>
      <c r="X350" s="6"/>
      <c r="Y350" s="6"/>
      <c r="Z350" s="6"/>
      <c r="AA350" s="6"/>
      <c r="AB350" s="6"/>
      <c r="AC350" s="6"/>
      <c r="AD350" s="6"/>
      <c r="AE350" s="6"/>
    </row>
    <row r="351" spans="22:31" ht="11.25" customHeight="1" x14ac:dyDescent="0.3">
      <c r="V351" s="6"/>
      <c r="W351" s="6"/>
      <c r="X351" s="6"/>
      <c r="Y351" s="6"/>
      <c r="Z351" s="6"/>
      <c r="AA351" s="6"/>
      <c r="AB351" s="6"/>
      <c r="AC351" s="6"/>
      <c r="AD351" s="6"/>
      <c r="AE351" s="6"/>
    </row>
    <row r="352" spans="22:31" ht="11.25" customHeight="1" x14ac:dyDescent="0.3">
      <c r="V352" s="6"/>
      <c r="W352" s="6"/>
      <c r="X352" s="6"/>
      <c r="Y352" s="6"/>
      <c r="Z352" s="6"/>
      <c r="AA352" s="6"/>
      <c r="AB352" s="6"/>
      <c r="AC352" s="6"/>
      <c r="AD352" s="6"/>
      <c r="AE352" s="6"/>
    </row>
    <row r="353" spans="22:31" ht="11.25" customHeight="1" x14ac:dyDescent="0.3">
      <c r="V353" s="6"/>
      <c r="W353" s="6"/>
      <c r="X353" s="6"/>
      <c r="Y353" s="6"/>
      <c r="Z353" s="6"/>
      <c r="AA353" s="6"/>
      <c r="AB353" s="6"/>
      <c r="AC353" s="6"/>
      <c r="AD353" s="6"/>
      <c r="AE353" s="6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C5AAB-0082-4A72-9408-EB603C2A16EE}">
  <sheetPr codeName="Planilha18"/>
  <dimension ref="A1:J349"/>
  <sheetViews>
    <sheetView showGridLines="0" workbookViewId="0"/>
  </sheetViews>
  <sheetFormatPr defaultColWidth="9.109375" defaultRowHeight="11.25" customHeight="1" x14ac:dyDescent="0.2"/>
  <cols>
    <col min="1" max="1" width="34.6640625" style="14" bestFit="1" customWidth="1"/>
    <col min="2" max="2" width="24.5546875" style="40" bestFit="1" customWidth="1"/>
    <col min="3" max="3" width="25.5546875" style="40" bestFit="1" customWidth="1"/>
    <col min="4" max="4" width="26" style="40" bestFit="1" customWidth="1"/>
    <col min="5" max="5" width="26.88671875" style="40" bestFit="1" customWidth="1"/>
    <col min="6" max="6" width="23.6640625" style="40" bestFit="1" customWidth="1"/>
    <col min="7" max="7" width="24.5546875" style="40" bestFit="1" customWidth="1"/>
    <col min="8" max="8" width="18.33203125" style="41" bestFit="1" customWidth="1"/>
    <col min="9" max="9" width="16" style="41" bestFit="1" customWidth="1"/>
    <col min="10" max="10" width="13.88671875" style="41" bestFit="1" customWidth="1"/>
    <col min="11" max="16384" width="9.109375" style="14"/>
  </cols>
  <sheetData>
    <row r="1" spans="1:10" ht="11.25" customHeight="1" x14ac:dyDescent="0.2">
      <c r="A1" s="39" t="s">
        <v>609</v>
      </c>
      <c r="B1" s="40" t="s">
        <v>610</v>
      </c>
      <c r="C1" s="40" t="s">
        <v>611</v>
      </c>
      <c r="D1" s="40" t="s">
        <v>612</v>
      </c>
      <c r="E1" s="40" t="s">
        <v>613</v>
      </c>
      <c r="F1" s="40" t="s">
        <v>614</v>
      </c>
      <c r="G1" s="40" t="s">
        <v>615</v>
      </c>
      <c r="H1" s="41" t="s">
        <v>616</v>
      </c>
      <c r="I1" s="41" t="s">
        <v>617</v>
      </c>
      <c r="J1" s="41" t="s">
        <v>618</v>
      </c>
    </row>
    <row r="2" spans="1:10" ht="11.25" customHeight="1" x14ac:dyDescent="0.2">
      <c r="A2" s="42" t="s">
        <v>26</v>
      </c>
      <c r="B2" s="40">
        <v>5342421.3659999985</v>
      </c>
      <c r="C2" s="40">
        <v>5194660.5066408208</v>
      </c>
      <c r="D2" s="40">
        <v>13854663.002199605</v>
      </c>
      <c r="E2" s="40">
        <v>14827387.681852661</v>
      </c>
      <c r="F2" s="40">
        <v>5258503.9280756069</v>
      </c>
      <c r="G2" s="40">
        <v>4785042.8990666037</v>
      </c>
      <c r="H2" s="41">
        <v>4.2973391400021654E-2</v>
      </c>
      <c r="I2" s="41">
        <v>-9.003721124579811E-2</v>
      </c>
      <c r="J2" s="41">
        <v>1.4373107161703924E-2</v>
      </c>
    </row>
    <row r="3" spans="1:10" ht="11.25" customHeight="1" x14ac:dyDescent="0.2">
      <c r="A3" s="43" t="s">
        <v>35</v>
      </c>
      <c r="B3" s="40">
        <v>5342421.3659999985</v>
      </c>
      <c r="C3" s="40">
        <v>5194660.5066408208</v>
      </c>
      <c r="D3" s="40">
        <v>5427969.3907423997</v>
      </c>
      <c r="E3" s="40">
        <v>6209443.3087007292</v>
      </c>
      <c r="F3" s="40">
        <v>3583768.6569942012</v>
      </c>
      <c r="G3" s="40">
        <v>3246134.6718706493</v>
      </c>
      <c r="H3" s="41">
        <v>5.8838446339789519E-2</v>
      </c>
      <c r="I3" s="41">
        <v>-9.4211992301627023E-2</v>
      </c>
      <c r="J3" s="41">
        <v>2.0626709300181068E-2</v>
      </c>
    </row>
    <row r="4" spans="1:10" ht="11.25" customHeight="1" x14ac:dyDescent="0.2">
      <c r="A4" s="44" t="s">
        <v>50</v>
      </c>
      <c r="B4" s="40">
        <v>26872.996499999997</v>
      </c>
      <c r="C4" s="40">
        <v>25611.962737438091</v>
      </c>
      <c r="D4" s="40">
        <v>5559.2353128000004</v>
      </c>
      <c r="E4" s="40">
        <v>8284.6205556168661</v>
      </c>
      <c r="F4" s="40">
        <v>10099.053005399999</v>
      </c>
      <c r="G4" s="40">
        <v>9147.6011014015276</v>
      </c>
      <c r="H4" s="41">
        <v>4.5151116602374142E-2</v>
      </c>
      <c r="I4" s="41">
        <v>-9.4211992301627356E-2</v>
      </c>
      <c r="J4" s="41">
        <v>1.2059348276189708E-2</v>
      </c>
    </row>
    <row r="5" spans="1:10" ht="11.25" customHeight="1" x14ac:dyDescent="0.2">
      <c r="A5" s="45" t="s">
        <v>48</v>
      </c>
      <c r="B5" s="40">
        <v>26872.996499999997</v>
      </c>
      <c r="C5" s="40">
        <v>25611.962737438091</v>
      </c>
      <c r="D5" s="40">
        <v>5559.2353128000004</v>
      </c>
      <c r="E5" s="40">
        <v>8284.6205556168661</v>
      </c>
      <c r="F5" s="40">
        <v>10099.053005399999</v>
      </c>
      <c r="G5" s="40">
        <v>9147.6011014015276</v>
      </c>
      <c r="H5" s="41">
        <v>4.5151116602374142E-2</v>
      </c>
      <c r="I5" s="41">
        <v>-9.4211992301627356E-2</v>
      </c>
      <c r="J5" s="41">
        <v>1.2059348276189708E-2</v>
      </c>
    </row>
    <row r="6" spans="1:10" ht="11.25" customHeight="1" x14ac:dyDescent="0.2">
      <c r="A6" s="46" t="s">
        <v>49</v>
      </c>
      <c r="B6" s="40">
        <v>26872.996499999997</v>
      </c>
      <c r="C6" s="40">
        <v>25611.962737438091</v>
      </c>
      <c r="D6" s="40">
        <v>5559.2353128000004</v>
      </c>
      <c r="E6" s="40">
        <v>8284.6205556168661</v>
      </c>
      <c r="F6" s="40">
        <v>10099.053005399999</v>
      </c>
      <c r="G6" s="40">
        <v>9147.6011014015276</v>
      </c>
      <c r="H6" s="41">
        <v>4.5151116602374142E-2</v>
      </c>
      <c r="I6" s="41">
        <v>-9.4211992301627356E-2</v>
      </c>
      <c r="J6" s="41">
        <v>1.2059348276189708E-2</v>
      </c>
    </row>
    <row r="7" spans="1:10" ht="11.25" customHeight="1" x14ac:dyDescent="0.2">
      <c r="A7" s="47" t="s">
        <v>25</v>
      </c>
      <c r="B7" s="40">
        <v>26872.996499999997</v>
      </c>
      <c r="C7" s="40">
        <v>25611.962737438091</v>
      </c>
      <c r="D7" s="40">
        <v>5559.2353128000004</v>
      </c>
      <c r="E7" s="40">
        <v>8284.6205556168661</v>
      </c>
      <c r="F7" s="40">
        <v>10099.053005399999</v>
      </c>
      <c r="G7" s="40">
        <v>9147.6011014015276</v>
      </c>
      <c r="H7" s="41">
        <v>4.5151116602374142E-2</v>
      </c>
      <c r="I7" s="41">
        <v>-9.4211992301627356E-2</v>
      </c>
      <c r="J7" s="41">
        <v>1.2059348276189708E-2</v>
      </c>
    </row>
    <row r="8" spans="1:10" ht="11.25" customHeight="1" x14ac:dyDescent="0.2">
      <c r="A8" s="48" t="s">
        <v>25</v>
      </c>
      <c r="B8" s="40">
        <v>26872.996499999997</v>
      </c>
      <c r="C8" s="40">
        <v>25611.962737438091</v>
      </c>
      <c r="D8" s="40">
        <v>5559.2353128000004</v>
      </c>
      <c r="E8" s="40">
        <v>8284.6205556168661</v>
      </c>
      <c r="F8" s="40">
        <v>10099.053005399999</v>
      </c>
      <c r="G8" s="40">
        <v>9147.6011014015276</v>
      </c>
      <c r="H8" s="41">
        <v>4.5151116602374142E-2</v>
      </c>
      <c r="I8" s="41">
        <v>-9.4211992301627356E-2</v>
      </c>
      <c r="J8" s="41">
        <v>1.2059348276189708E-2</v>
      </c>
    </row>
    <row r="9" spans="1:10" ht="11.25" customHeight="1" x14ac:dyDescent="0.2">
      <c r="A9" s="49" t="s">
        <v>38</v>
      </c>
      <c r="B9" s="40">
        <v>7030.4774999999991</v>
      </c>
      <c r="C9" s="40">
        <v>6836.7131588605671</v>
      </c>
      <c r="D9" s="40">
        <v>4983.279340000001</v>
      </c>
      <c r="E9" s="40">
        <v>7426.3052617125486</v>
      </c>
      <c r="F9" s="40">
        <v>9052.7562450000005</v>
      </c>
      <c r="G9" s="40">
        <v>8199.8780433375505</v>
      </c>
      <c r="H9" s="41">
        <v>0.18722383102379458</v>
      </c>
      <c r="I9" s="41">
        <v>-9.4211992301627467E-2</v>
      </c>
      <c r="J9" s="41">
        <v>6.6284504382689624E-2</v>
      </c>
    </row>
    <row r="10" spans="1:10" ht="11.25" customHeight="1" x14ac:dyDescent="0.2">
      <c r="A10" s="50">
        <v>44440</v>
      </c>
      <c r="B10" s="40">
        <v>3497.75</v>
      </c>
      <c r="C10" s="40">
        <v>3401.3498302788894</v>
      </c>
      <c r="D10" s="40">
        <v>2511.1009976000005</v>
      </c>
      <c r="E10" s="40">
        <v>3742.1547697481697</v>
      </c>
      <c r="F10" s="40">
        <v>4561.7320818000007</v>
      </c>
      <c r="G10" s="40">
        <v>4131.9622140273723</v>
      </c>
      <c r="H10" s="41">
        <v>0.18883037753478193</v>
      </c>
      <c r="I10" s="41">
        <v>-9.4211992301627467E-2</v>
      </c>
      <c r="J10" s="41">
        <v>6.6683524395935168E-2</v>
      </c>
    </row>
    <row r="11" spans="1:10" ht="11.25" customHeight="1" x14ac:dyDescent="0.2">
      <c r="A11" s="50">
        <v>44470</v>
      </c>
      <c r="B11" s="40">
        <v>3532.7274999999995</v>
      </c>
      <c r="C11" s="40">
        <v>3435.3633285816777</v>
      </c>
      <c r="D11" s="40">
        <v>2472.1783424</v>
      </c>
      <c r="E11" s="40">
        <v>3684.1504919643789</v>
      </c>
      <c r="F11" s="40">
        <v>4491.0241631999997</v>
      </c>
      <c r="G11" s="40">
        <v>4067.9158293101787</v>
      </c>
      <c r="H11" s="41">
        <v>0.18561622902992569</v>
      </c>
      <c r="I11" s="41">
        <v>-9.4211992301627467E-2</v>
      </c>
      <c r="J11" s="41">
        <v>6.5882646310264414E-2</v>
      </c>
    </row>
    <row r="12" spans="1:10" ht="11.25" customHeight="1" x14ac:dyDescent="0.2">
      <c r="A12" s="49" t="s">
        <v>37</v>
      </c>
      <c r="B12" s="40">
        <v>19842.519</v>
      </c>
      <c r="C12" s="40">
        <v>18775.249578577525</v>
      </c>
      <c r="D12" s="40">
        <v>575.95597280000004</v>
      </c>
      <c r="E12" s="40">
        <v>858.31529390431683</v>
      </c>
      <c r="F12" s="40">
        <v>1046.2967604</v>
      </c>
      <c r="G12" s="40">
        <v>947.72305806397753</v>
      </c>
      <c r="H12" s="41">
        <v>-3.8441171603841973E-2</v>
      </c>
      <c r="I12" s="41">
        <v>-9.4211992301627467E-2</v>
      </c>
      <c r="J12" s="41">
        <v>-4.1159711066839688E-2</v>
      </c>
    </row>
    <row r="13" spans="1:10" ht="11.25" customHeight="1" x14ac:dyDescent="0.2">
      <c r="A13" s="50">
        <v>44440</v>
      </c>
      <c r="B13" s="40">
        <v>9871.9</v>
      </c>
      <c r="C13" s="40">
        <v>9340.9201883470269</v>
      </c>
      <c r="D13" s="40">
        <v>290.95771120000001</v>
      </c>
      <c r="E13" s="40">
        <v>433.59816582555857</v>
      </c>
      <c r="F13" s="40">
        <v>528.5614266</v>
      </c>
      <c r="G13" s="40">
        <v>478.76460154622362</v>
      </c>
      <c r="H13" s="41">
        <v>-3.8211629844964179E-2</v>
      </c>
      <c r="I13" s="41">
        <v>-9.4211992301627356E-2</v>
      </c>
      <c r="J13" s="41">
        <v>-4.0980170773788127E-2</v>
      </c>
    </row>
    <row r="14" spans="1:10" ht="11.25" customHeight="1" x14ac:dyDescent="0.2">
      <c r="A14" s="50">
        <v>44470</v>
      </c>
      <c r="B14" s="40">
        <v>9970.6189999999988</v>
      </c>
      <c r="C14" s="40">
        <v>9434.3293902304977</v>
      </c>
      <c r="D14" s="40">
        <v>284.99826160000003</v>
      </c>
      <c r="E14" s="40">
        <v>424.71712807875821</v>
      </c>
      <c r="F14" s="40">
        <v>517.73533380000003</v>
      </c>
      <c r="G14" s="40">
        <v>468.95845651775392</v>
      </c>
      <c r="H14" s="41">
        <v>-3.8668637213638779E-2</v>
      </c>
      <c r="I14" s="41">
        <v>-9.4211992301627467E-2</v>
      </c>
      <c r="J14" s="41">
        <v>-4.133788592078036E-2</v>
      </c>
    </row>
    <row r="15" spans="1:10" ht="11.25" customHeight="1" x14ac:dyDescent="0.2">
      <c r="A15" s="44" t="s">
        <v>36</v>
      </c>
      <c r="B15" s="40">
        <v>5315548.3694999991</v>
      </c>
      <c r="C15" s="40">
        <v>5169048.5439033834</v>
      </c>
      <c r="D15" s="40">
        <v>5422410.1554295989</v>
      </c>
      <c r="E15" s="40">
        <v>6201158.6881451122</v>
      </c>
      <c r="F15" s="40">
        <v>3573669.6039888011</v>
      </c>
      <c r="G15" s="40">
        <v>3236987.0707692476</v>
      </c>
      <c r="H15" s="41">
        <v>5.8879786660662292E-2</v>
      </c>
      <c r="I15" s="41">
        <v>-9.4211992301627023E-2</v>
      </c>
      <c r="J15" s="41">
        <v>2.0652169776694818E-2</v>
      </c>
    </row>
    <row r="16" spans="1:10" ht="11.25" customHeight="1" x14ac:dyDescent="0.2">
      <c r="A16" s="45" t="s">
        <v>34</v>
      </c>
      <c r="B16" s="40">
        <v>5277652.0999999996</v>
      </c>
      <c r="C16" s="40">
        <v>5132196.7192069255</v>
      </c>
      <c r="D16" s="40">
        <v>5281052.2173599992</v>
      </c>
      <c r="E16" s="40">
        <v>6053104.0174059607</v>
      </c>
      <c r="F16" s="40">
        <v>3525939.7746300003</v>
      </c>
      <c r="G16" s="40">
        <v>3193753.9637265564</v>
      </c>
      <c r="H16" s="41">
        <v>5.9344063477814402E-2</v>
      </c>
      <c r="I16" s="41">
        <v>-9.4211992301626912E-2</v>
      </c>
      <c r="J16" s="41">
        <v>2.09029497960036E-2</v>
      </c>
    </row>
    <row r="17" spans="1:10" ht="11.25" customHeight="1" x14ac:dyDescent="0.2">
      <c r="A17" s="46" t="s">
        <v>25</v>
      </c>
      <c r="B17" s="40">
        <v>5277652.0999999996</v>
      </c>
      <c r="C17" s="40">
        <v>5132196.7192069255</v>
      </c>
      <c r="D17" s="40">
        <v>5281052.2173599992</v>
      </c>
      <c r="E17" s="40">
        <v>6053104.0174059607</v>
      </c>
      <c r="F17" s="40">
        <v>3525939.7746300003</v>
      </c>
      <c r="G17" s="40">
        <v>3193753.9637265564</v>
      </c>
      <c r="H17" s="41">
        <v>5.9344063477814402E-2</v>
      </c>
      <c r="I17" s="41">
        <v>-9.4211992301626912E-2</v>
      </c>
      <c r="J17" s="41">
        <v>2.09029497960036E-2</v>
      </c>
    </row>
    <row r="18" spans="1:10" ht="11.25" customHeight="1" x14ac:dyDescent="0.2">
      <c r="A18" s="47" t="s">
        <v>25</v>
      </c>
      <c r="B18" s="40">
        <v>5277652.0999999996</v>
      </c>
      <c r="C18" s="40">
        <v>5132196.7192069255</v>
      </c>
      <c r="D18" s="40">
        <v>5281052.2173599992</v>
      </c>
      <c r="E18" s="40">
        <v>6053104.0174059607</v>
      </c>
      <c r="F18" s="40">
        <v>3525939.7746300003</v>
      </c>
      <c r="G18" s="40">
        <v>3193753.9637265564</v>
      </c>
      <c r="H18" s="41">
        <v>5.9344063477814402E-2</v>
      </c>
      <c r="I18" s="41">
        <v>-9.4211992301626912E-2</v>
      </c>
      <c r="J18" s="41">
        <v>2.09029497960036E-2</v>
      </c>
    </row>
    <row r="19" spans="1:10" ht="11.25" customHeight="1" x14ac:dyDescent="0.2">
      <c r="A19" s="48" t="s">
        <v>25</v>
      </c>
      <c r="B19" s="40">
        <v>5277652.0999999996</v>
      </c>
      <c r="C19" s="40">
        <v>5132196.7192069255</v>
      </c>
      <c r="D19" s="40">
        <v>5281052.2173599992</v>
      </c>
      <c r="E19" s="40">
        <v>6053104.0174059607</v>
      </c>
      <c r="F19" s="40">
        <v>3525939.7746300003</v>
      </c>
      <c r="G19" s="40">
        <v>3193753.9637265564</v>
      </c>
      <c r="H19" s="41">
        <v>5.9344063477814402E-2</v>
      </c>
      <c r="I19" s="41">
        <v>-9.4211992301626912E-2</v>
      </c>
      <c r="J19" s="41">
        <v>2.09029497960036E-2</v>
      </c>
    </row>
    <row r="20" spans="1:10" ht="11.25" customHeight="1" x14ac:dyDescent="0.2">
      <c r="A20" s="49" t="s">
        <v>38</v>
      </c>
      <c r="B20" s="40">
        <v>0</v>
      </c>
      <c r="C20" s="40">
        <v>0</v>
      </c>
      <c r="D20" s="40">
        <v>1861973.3651999999</v>
      </c>
      <c r="E20" s="40">
        <v>2774795.8032698566</v>
      </c>
      <c r="F20" s="40">
        <v>3382509.7610999993</v>
      </c>
      <c r="G20" s="40">
        <v>3063836.7775270669</v>
      </c>
      <c r="H20" s="41">
        <v>0.49024462708778205</v>
      </c>
      <c r="I20" s="41">
        <v>-9.4211992301627134E-2</v>
      </c>
      <c r="J20" s="41">
        <v>0.11329037393930919</v>
      </c>
    </row>
    <row r="21" spans="1:10" ht="11.25" customHeight="1" x14ac:dyDescent="0.2">
      <c r="A21" s="50">
        <v>44440</v>
      </c>
      <c r="B21" s="40">
        <v>0</v>
      </c>
      <c r="C21" s="40">
        <v>0</v>
      </c>
      <c r="D21" s="40">
        <v>161845.02048000001</v>
      </c>
      <c r="E21" s="40">
        <v>241188.67219123204</v>
      </c>
      <c r="F21" s="40">
        <v>294011.91863999999</v>
      </c>
      <c r="G21" s="40">
        <v>266312.47002450161</v>
      </c>
      <c r="H21" s="41">
        <v>0.49024462708778183</v>
      </c>
      <c r="I21" s="41">
        <v>-9.4211992301627356E-2</v>
      </c>
      <c r="J21" s="41">
        <v>0.11329037393930919</v>
      </c>
    </row>
    <row r="22" spans="1:10" ht="11.25" customHeight="1" x14ac:dyDescent="0.2">
      <c r="A22" s="50">
        <v>44470</v>
      </c>
      <c r="B22" s="40">
        <v>0</v>
      </c>
      <c r="C22" s="40">
        <v>0</v>
      </c>
      <c r="D22" s="40">
        <v>158865.03152000002</v>
      </c>
      <c r="E22" s="40">
        <v>236747.75965481115</v>
      </c>
      <c r="F22" s="40">
        <v>288598.39236</v>
      </c>
      <c r="G22" s="40">
        <v>261408.96284071766</v>
      </c>
      <c r="H22" s="41">
        <v>0.49024462708778183</v>
      </c>
      <c r="I22" s="41">
        <v>-9.4211992301627245E-2</v>
      </c>
      <c r="J22" s="41">
        <v>0.11329037393930919</v>
      </c>
    </row>
    <row r="23" spans="1:10" ht="11.25" customHeight="1" x14ac:dyDescent="0.2">
      <c r="A23" s="50">
        <v>44501</v>
      </c>
      <c r="B23" s="40">
        <v>0</v>
      </c>
      <c r="C23" s="40">
        <v>0</v>
      </c>
      <c r="D23" s="40">
        <v>159923.38856000002</v>
      </c>
      <c r="E23" s="40">
        <v>238324.97054721168</v>
      </c>
      <c r="F23" s="40">
        <v>290521.03158000001</v>
      </c>
      <c r="G23" s="40">
        <v>263150.46638932417</v>
      </c>
      <c r="H23" s="41">
        <v>0.49024462708778183</v>
      </c>
      <c r="I23" s="41">
        <v>-9.4211992301627467E-2</v>
      </c>
      <c r="J23" s="41">
        <v>0.11329037393930896</v>
      </c>
    </row>
    <row r="24" spans="1:10" ht="11.25" customHeight="1" x14ac:dyDescent="0.2">
      <c r="A24" s="50">
        <v>44531</v>
      </c>
      <c r="B24" s="40">
        <v>0</v>
      </c>
      <c r="C24" s="40">
        <v>0</v>
      </c>
      <c r="D24" s="40">
        <v>140221.80744</v>
      </c>
      <c r="E24" s="40">
        <v>208964.79513799757</v>
      </c>
      <c r="F24" s="40">
        <v>254730.62141999998</v>
      </c>
      <c r="G24" s="40">
        <v>230731.94207579017</v>
      </c>
      <c r="H24" s="41">
        <v>0.49024462708778183</v>
      </c>
      <c r="I24" s="41">
        <v>-9.4211992301627467E-2</v>
      </c>
      <c r="J24" s="41">
        <v>0.11329037393930896</v>
      </c>
    </row>
    <row r="25" spans="1:10" ht="11.25" customHeight="1" x14ac:dyDescent="0.2">
      <c r="A25" s="50">
        <v>44562</v>
      </c>
      <c r="B25" s="40">
        <v>0</v>
      </c>
      <c r="C25" s="40">
        <v>0</v>
      </c>
      <c r="D25" s="40">
        <v>147772.22667999999</v>
      </c>
      <c r="E25" s="40">
        <v>220216.7668426678</v>
      </c>
      <c r="F25" s="40">
        <v>268446.91148999997</v>
      </c>
      <c r="G25" s="40">
        <v>243155.99313130844</v>
      </c>
      <c r="H25" s="41">
        <v>0.49024462708778205</v>
      </c>
      <c r="I25" s="41">
        <v>-9.4211992301627356E-2</v>
      </c>
      <c r="J25" s="41">
        <v>0.11329037393930919</v>
      </c>
    </row>
    <row r="26" spans="1:10" ht="11.25" customHeight="1" x14ac:dyDescent="0.2">
      <c r="A26" s="50">
        <v>44593</v>
      </c>
      <c r="B26" s="40">
        <v>0</v>
      </c>
      <c r="C26" s="40">
        <v>0</v>
      </c>
      <c r="D26" s="40">
        <v>141497.304</v>
      </c>
      <c r="E26" s="40">
        <v>210865.59703340652</v>
      </c>
      <c r="F26" s="40">
        <v>257047.72199999998</v>
      </c>
      <c r="G26" s="40">
        <v>232830.74399378514</v>
      </c>
      <c r="H26" s="41">
        <v>0.49024462708778183</v>
      </c>
      <c r="I26" s="41">
        <v>-9.4211992301627356E-2</v>
      </c>
      <c r="J26" s="41">
        <v>0.11329037393930919</v>
      </c>
    </row>
    <row r="27" spans="1:10" ht="11.25" customHeight="1" x14ac:dyDescent="0.2">
      <c r="A27" s="50">
        <v>44621</v>
      </c>
      <c r="B27" s="40">
        <v>0</v>
      </c>
      <c r="C27" s="40">
        <v>0</v>
      </c>
      <c r="D27" s="40">
        <v>174281.80536000003</v>
      </c>
      <c r="E27" s="40">
        <v>259722.52403689863</v>
      </c>
      <c r="F27" s="40">
        <v>316604.90898000001</v>
      </c>
      <c r="G27" s="40">
        <v>286776.92973251879</v>
      </c>
      <c r="H27" s="41">
        <v>0.49024462708778183</v>
      </c>
      <c r="I27" s="41">
        <v>-9.4211992301627467E-2</v>
      </c>
      <c r="J27" s="41">
        <v>0.11329037393930919</v>
      </c>
    </row>
    <row r="28" spans="1:10" ht="11.25" customHeight="1" x14ac:dyDescent="0.2">
      <c r="A28" s="50">
        <v>44652</v>
      </c>
      <c r="B28" s="40">
        <v>0</v>
      </c>
      <c r="C28" s="40">
        <v>0</v>
      </c>
      <c r="D28" s="40">
        <v>155021.89976</v>
      </c>
      <c r="E28" s="40">
        <v>231020.55319828074</v>
      </c>
      <c r="F28" s="40">
        <v>281616.85817999998</v>
      </c>
      <c r="G28" s="40">
        <v>255085.17290513735</v>
      </c>
      <c r="H28" s="41">
        <v>0.49024462708778205</v>
      </c>
      <c r="I28" s="41">
        <v>-9.4211992301627356E-2</v>
      </c>
      <c r="J28" s="41">
        <v>0.11329037393930919</v>
      </c>
    </row>
    <row r="29" spans="1:10" ht="11.25" customHeight="1" x14ac:dyDescent="0.2">
      <c r="A29" s="50">
        <v>44682</v>
      </c>
      <c r="B29" s="40">
        <v>0</v>
      </c>
      <c r="C29" s="40">
        <v>0</v>
      </c>
      <c r="D29" s="40">
        <v>164218.96036000003</v>
      </c>
      <c r="E29" s="40">
        <v>244726.42334243149</v>
      </c>
      <c r="F29" s="40">
        <v>298324.48022999999</v>
      </c>
      <c r="G29" s="40">
        <v>270218.73659518425</v>
      </c>
      <c r="H29" s="41">
        <v>0.49024462708778205</v>
      </c>
      <c r="I29" s="41">
        <v>-9.4211992301627356E-2</v>
      </c>
      <c r="J29" s="41">
        <v>0.11329037393930919</v>
      </c>
    </row>
    <row r="30" spans="1:10" ht="11.25" customHeight="1" x14ac:dyDescent="0.2">
      <c r="A30" s="50">
        <v>44713</v>
      </c>
      <c r="B30" s="40">
        <v>0</v>
      </c>
      <c r="C30" s="40">
        <v>0</v>
      </c>
      <c r="D30" s="40">
        <v>160981.74559999999</v>
      </c>
      <c r="E30" s="40">
        <v>239902.18143961221</v>
      </c>
      <c r="F30" s="40">
        <v>292443.67079999996</v>
      </c>
      <c r="G30" s="40">
        <v>264891.96993793076</v>
      </c>
      <c r="H30" s="41">
        <v>0.49024462708778205</v>
      </c>
      <c r="I30" s="41">
        <v>-9.4211992301627245E-2</v>
      </c>
      <c r="J30" s="41">
        <v>0.11329037393930919</v>
      </c>
    </row>
    <row r="31" spans="1:10" ht="11.25" customHeight="1" x14ac:dyDescent="0.2">
      <c r="A31" s="50">
        <v>44743</v>
      </c>
      <c r="B31" s="40">
        <v>0</v>
      </c>
      <c r="C31" s="40">
        <v>0</v>
      </c>
      <c r="D31" s="40">
        <v>148672.08772000001</v>
      </c>
      <c r="E31" s="40">
        <v>221557.7799226534</v>
      </c>
      <c r="F31" s="40">
        <v>270081.62270999997</v>
      </c>
      <c r="G31" s="40">
        <v>244636.69495043444</v>
      </c>
      <c r="H31" s="41">
        <v>0.49024462708778183</v>
      </c>
      <c r="I31" s="41">
        <v>-9.4211992301627356E-2</v>
      </c>
      <c r="J31" s="41">
        <v>0.11329037393930919</v>
      </c>
    </row>
    <row r="32" spans="1:10" ht="11.25" customHeight="1" x14ac:dyDescent="0.2">
      <c r="A32" s="50">
        <v>44774</v>
      </c>
      <c r="B32" s="40">
        <v>0</v>
      </c>
      <c r="C32" s="40">
        <v>0</v>
      </c>
      <c r="D32" s="40">
        <v>148672.08772000001</v>
      </c>
      <c r="E32" s="40">
        <v>221557.7799226534</v>
      </c>
      <c r="F32" s="40">
        <v>270081.62270999997</v>
      </c>
      <c r="G32" s="40">
        <v>244636.69495043444</v>
      </c>
      <c r="H32" s="41">
        <v>0.49024462708778183</v>
      </c>
      <c r="I32" s="41">
        <v>-9.4211992301627356E-2</v>
      </c>
      <c r="J32" s="41">
        <v>0.11329037393930919</v>
      </c>
    </row>
    <row r="33" spans="1:10" ht="11.25" customHeight="1" x14ac:dyDescent="0.2">
      <c r="A33" s="49" t="s">
        <v>25</v>
      </c>
      <c r="B33" s="40">
        <v>5277652.0999999996</v>
      </c>
      <c r="C33" s="40">
        <v>5132196.7192069255</v>
      </c>
      <c r="D33" s="40">
        <v>0</v>
      </c>
      <c r="E33" s="40">
        <v>0</v>
      </c>
      <c r="F33" s="40">
        <v>0</v>
      </c>
      <c r="G33" s="40">
        <v>0</v>
      </c>
      <c r="H33" s="41">
        <v>-2.7560623178074617E-2</v>
      </c>
      <c r="I33" s="41">
        <v>0</v>
      </c>
      <c r="J33" s="41">
        <v>-2.7560623178074617E-2</v>
      </c>
    </row>
    <row r="34" spans="1:10" ht="11.25" customHeight="1" x14ac:dyDescent="0.2">
      <c r="A34" s="50">
        <v>44440</v>
      </c>
      <c r="B34" s="40">
        <v>443267.8</v>
      </c>
      <c r="C34" s="40">
        <v>431051.0631972258</v>
      </c>
      <c r="D34" s="40">
        <v>0</v>
      </c>
      <c r="E34" s="40">
        <v>0</v>
      </c>
      <c r="F34" s="40">
        <v>0</v>
      </c>
      <c r="G34" s="40">
        <v>0</v>
      </c>
      <c r="H34" s="41">
        <v>-2.7560623178074728E-2</v>
      </c>
      <c r="I34" s="41">
        <v>0</v>
      </c>
      <c r="J34" s="41">
        <v>-2.7560623178074728E-2</v>
      </c>
    </row>
    <row r="35" spans="1:10" ht="11.25" customHeight="1" x14ac:dyDescent="0.2">
      <c r="A35" s="50">
        <v>44470</v>
      </c>
      <c r="B35" s="40">
        <v>447177.05</v>
      </c>
      <c r="C35" s="40">
        <v>434852.57183106692</v>
      </c>
      <c r="D35" s="40">
        <v>0</v>
      </c>
      <c r="E35" s="40">
        <v>0</v>
      </c>
      <c r="F35" s="40">
        <v>0</v>
      </c>
      <c r="G35" s="40">
        <v>0</v>
      </c>
      <c r="H35" s="41">
        <v>-2.7560623178074728E-2</v>
      </c>
      <c r="I35" s="41">
        <v>0</v>
      </c>
      <c r="J35" s="41">
        <v>-2.7560623178074728E-2</v>
      </c>
    </row>
    <row r="36" spans="1:10" ht="11.25" customHeight="1" x14ac:dyDescent="0.2">
      <c r="A36" s="50">
        <v>44501</v>
      </c>
      <c r="B36" s="40">
        <v>449316.85</v>
      </c>
      <c r="C36" s="40">
        <v>436933.39760959049</v>
      </c>
      <c r="D36" s="40">
        <v>0</v>
      </c>
      <c r="E36" s="40">
        <v>0</v>
      </c>
      <c r="F36" s="40">
        <v>0</v>
      </c>
      <c r="G36" s="40">
        <v>0</v>
      </c>
      <c r="H36" s="41">
        <v>-2.7560623178074617E-2</v>
      </c>
      <c r="I36" s="41">
        <v>0</v>
      </c>
      <c r="J36" s="41">
        <v>-2.7560623178074617E-2</v>
      </c>
    </row>
    <row r="37" spans="1:10" ht="11.25" customHeight="1" x14ac:dyDescent="0.2">
      <c r="A37" s="50">
        <v>44531</v>
      </c>
      <c r="B37" s="40">
        <v>443597</v>
      </c>
      <c r="C37" s="40">
        <v>431371.19024007564</v>
      </c>
      <c r="D37" s="40">
        <v>0</v>
      </c>
      <c r="E37" s="40">
        <v>0</v>
      </c>
      <c r="F37" s="40">
        <v>0</v>
      </c>
      <c r="G37" s="40">
        <v>0</v>
      </c>
      <c r="H37" s="41">
        <v>-2.7560623178074617E-2</v>
      </c>
      <c r="I37" s="41">
        <v>0</v>
      </c>
      <c r="J37" s="41">
        <v>-2.7560623178074617E-2</v>
      </c>
    </row>
    <row r="38" spans="1:10" ht="11.25" customHeight="1" x14ac:dyDescent="0.2">
      <c r="A38" s="50">
        <v>44562</v>
      </c>
      <c r="B38" s="40">
        <v>431869.25</v>
      </c>
      <c r="C38" s="40">
        <v>419966.66433855228</v>
      </c>
      <c r="D38" s="40">
        <v>0</v>
      </c>
      <c r="E38" s="40">
        <v>0</v>
      </c>
      <c r="F38" s="40">
        <v>0</v>
      </c>
      <c r="G38" s="40">
        <v>0</v>
      </c>
      <c r="H38" s="41">
        <v>-2.7560623178074617E-2</v>
      </c>
      <c r="I38" s="41">
        <v>0</v>
      </c>
      <c r="J38" s="41">
        <v>-2.7560623178074617E-2</v>
      </c>
    </row>
    <row r="39" spans="1:10" ht="11.25" customHeight="1" x14ac:dyDescent="0.2">
      <c r="A39" s="50">
        <v>44593</v>
      </c>
      <c r="B39" s="40">
        <v>445325.3</v>
      </c>
      <c r="C39" s="40">
        <v>433051.85721503693</v>
      </c>
      <c r="D39" s="40">
        <v>0</v>
      </c>
      <c r="E39" s="40">
        <v>0</v>
      </c>
      <c r="F39" s="40">
        <v>0</v>
      </c>
      <c r="G39" s="40">
        <v>0</v>
      </c>
      <c r="H39" s="41">
        <v>-2.7560623178074728E-2</v>
      </c>
      <c r="I39" s="41">
        <v>0</v>
      </c>
      <c r="J39" s="41">
        <v>-2.7560623178074728E-2</v>
      </c>
    </row>
    <row r="40" spans="1:10" ht="11.25" customHeight="1" x14ac:dyDescent="0.2">
      <c r="A40" s="50">
        <v>44621</v>
      </c>
      <c r="B40" s="40">
        <v>438041.75</v>
      </c>
      <c r="C40" s="40">
        <v>425969.04639198555</v>
      </c>
      <c r="D40" s="40">
        <v>0</v>
      </c>
      <c r="E40" s="40">
        <v>0</v>
      </c>
      <c r="F40" s="40">
        <v>0</v>
      </c>
      <c r="G40" s="40">
        <v>0</v>
      </c>
      <c r="H40" s="41">
        <v>-2.7560623178074839E-2</v>
      </c>
      <c r="I40" s="41">
        <v>0</v>
      </c>
      <c r="J40" s="41">
        <v>-2.7560623178074839E-2</v>
      </c>
    </row>
    <row r="41" spans="1:10" ht="11.25" customHeight="1" x14ac:dyDescent="0.2">
      <c r="A41" s="50">
        <v>44652</v>
      </c>
      <c r="B41" s="40">
        <v>450551.35</v>
      </c>
      <c r="C41" s="40">
        <v>438133.87402027712</v>
      </c>
      <c r="D41" s="40">
        <v>0</v>
      </c>
      <c r="E41" s="40">
        <v>0</v>
      </c>
      <c r="F41" s="40">
        <v>0</v>
      </c>
      <c r="G41" s="40">
        <v>0</v>
      </c>
      <c r="H41" s="41">
        <v>-2.7560623178074728E-2</v>
      </c>
      <c r="I41" s="41">
        <v>0</v>
      </c>
      <c r="J41" s="41">
        <v>-2.7560623178074728E-2</v>
      </c>
    </row>
    <row r="42" spans="1:10" ht="11.25" customHeight="1" x14ac:dyDescent="0.2">
      <c r="A42" s="50">
        <v>44682</v>
      </c>
      <c r="B42" s="40">
        <v>430017.5</v>
      </c>
      <c r="C42" s="40">
        <v>418165.94972252223</v>
      </c>
      <c r="D42" s="40">
        <v>0</v>
      </c>
      <c r="E42" s="40">
        <v>0</v>
      </c>
      <c r="F42" s="40">
        <v>0</v>
      </c>
      <c r="G42" s="40">
        <v>0</v>
      </c>
      <c r="H42" s="41">
        <v>-2.7560623178074728E-2</v>
      </c>
      <c r="I42" s="41">
        <v>0</v>
      </c>
      <c r="J42" s="41">
        <v>-2.7560623178074728E-2</v>
      </c>
    </row>
    <row r="43" spans="1:10" ht="11.25" customHeight="1" x14ac:dyDescent="0.2">
      <c r="A43" s="50">
        <v>44713</v>
      </c>
      <c r="B43" s="40">
        <v>433597.55</v>
      </c>
      <c r="C43" s="40">
        <v>421647.33131351357</v>
      </c>
      <c r="D43" s="40">
        <v>0</v>
      </c>
      <c r="E43" s="40">
        <v>0</v>
      </c>
      <c r="F43" s="40">
        <v>0</v>
      </c>
      <c r="G43" s="40">
        <v>0</v>
      </c>
      <c r="H43" s="41">
        <v>-2.7560623178074728E-2</v>
      </c>
      <c r="I43" s="41">
        <v>0</v>
      </c>
      <c r="J43" s="41">
        <v>-2.7560623178074728E-2</v>
      </c>
    </row>
    <row r="44" spans="1:10" ht="11.25" customHeight="1" x14ac:dyDescent="0.2">
      <c r="A44" s="50">
        <v>44743</v>
      </c>
      <c r="B44" s="40">
        <v>432445.35</v>
      </c>
      <c r="C44" s="40">
        <v>420526.88666353934</v>
      </c>
      <c r="D44" s="40">
        <v>0</v>
      </c>
      <c r="E44" s="40">
        <v>0</v>
      </c>
      <c r="F44" s="40">
        <v>0</v>
      </c>
      <c r="G44" s="40">
        <v>0</v>
      </c>
      <c r="H44" s="41">
        <v>-2.7560623178074728E-2</v>
      </c>
      <c r="I44" s="41">
        <v>0</v>
      </c>
      <c r="J44" s="41">
        <v>-2.7560623178074728E-2</v>
      </c>
    </row>
    <row r="45" spans="1:10" ht="11.25" customHeight="1" x14ac:dyDescent="0.2">
      <c r="A45" s="50">
        <v>44774</v>
      </c>
      <c r="B45" s="40">
        <v>432445.35</v>
      </c>
      <c r="C45" s="40">
        <v>420526.88666353934</v>
      </c>
      <c r="D45" s="40">
        <v>0</v>
      </c>
      <c r="E45" s="40">
        <v>0</v>
      </c>
      <c r="F45" s="40">
        <v>0</v>
      </c>
      <c r="G45" s="40">
        <v>0</v>
      </c>
      <c r="H45" s="41">
        <v>-2.7560623178074728E-2</v>
      </c>
      <c r="I45" s="41">
        <v>0</v>
      </c>
      <c r="J45" s="41">
        <v>-2.7560623178074728E-2</v>
      </c>
    </row>
    <row r="46" spans="1:10" ht="11.25" customHeight="1" x14ac:dyDescent="0.2">
      <c r="A46" s="49" t="s">
        <v>37</v>
      </c>
      <c r="B46" s="40">
        <v>0</v>
      </c>
      <c r="C46" s="40">
        <v>0</v>
      </c>
      <c r="D46" s="40">
        <v>3419078.8521600012</v>
      </c>
      <c r="E46" s="40">
        <v>3278308.2141361036</v>
      </c>
      <c r="F46" s="40">
        <v>143430.01353</v>
      </c>
      <c r="G46" s="40">
        <v>129917.18619948933</v>
      </c>
      <c r="H46" s="41">
        <v>-4.1172094622785593E-2</v>
      </c>
      <c r="I46" s="41">
        <v>-9.4211992301627689E-2</v>
      </c>
      <c r="J46" s="41">
        <v>-4.3307531621966877E-2</v>
      </c>
    </row>
    <row r="47" spans="1:10" ht="11.25" customHeight="1" x14ac:dyDescent="0.2">
      <c r="A47" s="50">
        <v>44440</v>
      </c>
      <c r="B47" s="40">
        <v>0</v>
      </c>
      <c r="C47" s="40">
        <v>0</v>
      </c>
      <c r="D47" s="40">
        <v>293265.15264000004</v>
      </c>
      <c r="E47" s="40">
        <v>281190.81202594028</v>
      </c>
      <c r="F47" s="40">
        <v>12302.44362</v>
      </c>
      <c r="G47" s="40">
        <v>11143.405896381355</v>
      </c>
      <c r="H47" s="41">
        <v>-4.1172094622785704E-2</v>
      </c>
      <c r="I47" s="41">
        <v>-9.4211992301627356E-2</v>
      </c>
      <c r="J47" s="41">
        <v>-4.3307531621966988E-2</v>
      </c>
    </row>
    <row r="48" spans="1:10" ht="11.25" customHeight="1" x14ac:dyDescent="0.2">
      <c r="A48" s="50">
        <v>44470</v>
      </c>
      <c r="B48" s="40">
        <v>0</v>
      </c>
      <c r="C48" s="40">
        <v>0</v>
      </c>
      <c r="D48" s="40">
        <v>255869.8848</v>
      </c>
      <c r="E48" s="40">
        <v>245335.18569189316</v>
      </c>
      <c r="F48" s="40">
        <v>10733.715899999999</v>
      </c>
      <c r="G48" s="40">
        <v>9722.4711402613448</v>
      </c>
      <c r="H48" s="41">
        <v>-4.1172094622785593E-2</v>
      </c>
      <c r="I48" s="41">
        <v>-9.4211992301627245E-2</v>
      </c>
      <c r="J48" s="41">
        <v>-4.3307531621966988E-2</v>
      </c>
    </row>
    <row r="49" spans="1:10" ht="11.25" customHeight="1" x14ac:dyDescent="0.2">
      <c r="A49" s="50">
        <v>44501</v>
      </c>
      <c r="B49" s="40">
        <v>0</v>
      </c>
      <c r="C49" s="40">
        <v>0</v>
      </c>
      <c r="D49" s="40">
        <v>259865.08128000001</v>
      </c>
      <c r="E49" s="40">
        <v>249165.89156438201</v>
      </c>
      <c r="F49" s="40">
        <v>10901.313990000001</v>
      </c>
      <c r="G49" s="40">
        <v>9874.2794802964981</v>
      </c>
      <c r="H49" s="41">
        <v>-4.1172094622785482E-2</v>
      </c>
      <c r="I49" s="41">
        <v>-9.4211992301627356E-2</v>
      </c>
      <c r="J49" s="41">
        <v>-4.3307531621966877E-2</v>
      </c>
    </row>
    <row r="50" spans="1:10" ht="11.25" customHeight="1" x14ac:dyDescent="0.2">
      <c r="A50" s="50">
        <v>44531</v>
      </c>
      <c r="B50" s="40">
        <v>0</v>
      </c>
      <c r="C50" s="40">
        <v>0</v>
      </c>
      <c r="D50" s="40">
        <v>270051.83136000007</v>
      </c>
      <c r="E50" s="40">
        <v>258933.23180618958</v>
      </c>
      <c r="F50" s="40">
        <v>11328.647130000001</v>
      </c>
      <c r="G50" s="40">
        <v>10261.352713800587</v>
      </c>
      <c r="H50" s="41">
        <v>-4.1172094622785704E-2</v>
      </c>
      <c r="I50" s="41">
        <v>-9.4211992301627467E-2</v>
      </c>
      <c r="J50" s="41">
        <v>-4.330753162196721E-2</v>
      </c>
    </row>
    <row r="51" spans="1:10" ht="11.25" customHeight="1" x14ac:dyDescent="0.2">
      <c r="A51" s="50">
        <v>44562</v>
      </c>
      <c r="B51" s="40">
        <v>0</v>
      </c>
      <c r="C51" s="40">
        <v>0</v>
      </c>
      <c r="D51" s="40">
        <v>269059.46688000008</v>
      </c>
      <c r="E51" s="40">
        <v>257981.72505046043</v>
      </c>
      <c r="F51" s="40">
        <v>11287.017540000001</v>
      </c>
      <c r="G51" s="40">
        <v>10223.645130413188</v>
      </c>
      <c r="H51" s="41">
        <v>-4.1172094622785704E-2</v>
      </c>
      <c r="I51" s="41">
        <v>-9.4211992301627356E-2</v>
      </c>
      <c r="J51" s="41">
        <v>-4.330753162196721E-2</v>
      </c>
    </row>
    <row r="52" spans="1:10" ht="11.25" customHeight="1" x14ac:dyDescent="0.2">
      <c r="A52" s="50">
        <v>44593</v>
      </c>
      <c r="B52" s="40">
        <v>0</v>
      </c>
      <c r="C52" s="40">
        <v>0</v>
      </c>
      <c r="D52" s="40">
        <v>275311.07711999997</v>
      </c>
      <c r="E52" s="40">
        <v>263975.94340211432</v>
      </c>
      <c r="F52" s="40">
        <v>11549.27196</v>
      </c>
      <c r="G52" s="40">
        <v>10461.192039015077</v>
      </c>
      <c r="H52" s="41">
        <v>-4.1172094622785593E-2</v>
      </c>
      <c r="I52" s="41">
        <v>-9.4211992301627578E-2</v>
      </c>
      <c r="J52" s="41">
        <v>-4.3307531621966877E-2</v>
      </c>
    </row>
    <row r="53" spans="1:10" ht="11.25" customHeight="1" x14ac:dyDescent="0.2">
      <c r="A53" s="50">
        <v>44621</v>
      </c>
      <c r="B53" s="40">
        <v>0</v>
      </c>
      <c r="C53" s="40">
        <v>0</v>
      </c>
      <c r="D53" s="40">
        <v>343083.56544000003</v>
      </c>
      <c r="E53" s="40">
        <v>328958.09642018168</v>
      </c>
      <c r="F53" s="40">
        <v>14392.321020000001</v>
      </c>
      <c r="G53" s="40">
        <v>13036.39178286121</v>
      </c>
      <c r="H53" s="41">
        <v>-4.1172094622785593E-2</v>
      </c>
      <c r="I53" s="41">
        <v>-9.4211992301627467E-2</v>
      </c>
      <c r="J53" s="41">
        <v>-4.3307531621966988E-2</v>
      </c>
    </row>
    <row r="54" spans="1:10" ht="11.25" customHeight="1" x14ac:dyDescent="0.2">
      <c r="A54" s="50">
        <v>44652</v>
      </c>
      <c r="B54" s="40">
        <v>0</v>
      </c>
      <c r="C54" s="40">
        <v>0</v>
      </c>
      <c r="D54" s="40">
        <v>258415.14240000001</v>
      </c>
      <c r="E54" s="40">
        <v>247775.64970514658</v>
      </c>
      <c r="F54" s="40">
        <v>10840.4892</v>
      </c>
      <c r="G54" s="40">
        <v>9819.1851149437243</v>
      </c>
      <c r="H54" s="41">
        <v>-4.1172094622785593E-2</v>
      </c>
      <c r="I54" s="41">
        <v>-9.4211992301627467E-2</v>
      </c>
      <c r="J54" s="41">
        <v>-4.3307531621967099E-2</v>
      </c>
    </row>
    <row r="55" spans="1:10" ht="11.25" customHeight="1" x14ac:dyDescent="0.2">
      <c r="A55" s="50">
        <v>44682</v>
      </c>
      <c r="B55" s="40">
        <v>0</v>
      </c>
      <c r="C55" s="40">
        <v>0</v>
      </c>
      <c r="D55" s="40">
        <v>318457.48320000002</v>
      </c>
      <c r="E55" s="40">
        <v>305345.92156835546</v>
      </c>
      <c r="F55" s="40">
        <v>13359.259349999998</v>
      </c>
      <c r="G55" s="40">
        <v>12100.656910962354</v>
      </c>
      <c r="H55" s="41">
        <v>-4.1172094622785593E-2</v>
      </c>
      <c r="I55" s="41">
        <v>-9.4211992301627467E-2</v>
      </c>
      <c r="J55" s="41">
        <v>-4.3307531621966988E-2</v>
      </c>
    </row>
    <row r="56" spans="1:10" ht="11.25" customHeight="1" x14ac:dyDescent="0.2">
      <c r="A56" s="50">
        <v>44713</v>
      </c>
      <c r="B56" s="40">
        <v>0</v>
      </c>
      <c r="C56" s="40">
        <v>0</v>
      </c>
      <c r="D56" s="40">
        <v>291640.76352000004</v>
      </c>
      <c r="E56" s="40">
        <v>279633.30240849312</v>
      </c>
      <c r="F56" s="40">
        <v>12234.300659999999</v>
      </c>
      <c r="G56" s="40">
        <v>11081.682820404283</v>
      </c>
      <c r="H56" s="41">
        <v>-4.1172094622785704E-2</v>
      </c>
      <c r="I56" s="41">
        <v>-9.4211992301627467E-2</v>
      </c>
      <c r="J56" s="41">
        <v>-4.3307531621967099E-2</v>
      </c>
    </row>
    <row r="57" spans="1:10" ht="11.25" customHeight="1" x14ac:dyDescent="0.2">
      <c r="A57" s="50">
        <v>44743</v>
      </c>
      <c r="B57" s="40">
        <v>0</v>
      </c>
      <c r="C57" s="40">
        <v>0</v>
      </c>
      <c r="D57" s="40">
        <v>292029.70175999997</v>
      </c>
      <c r="E57" s="40">
        <v>280006.22724647343</v>
      </c>
      <c r="F57" s="40">
        <v>12250.616579999998</v>
      </c>
      <c r="G57" s="40">
        <v>11096.461585074851</v>
      </c>
      <c r="H57" s="41">
        <v>-4.1172094622785482E-2</v>
      </c>
      <c r="I57" s="41">
        <v>-9.4211992301627245E-2</v>
      </c>
      <c r="J57" s="41">
        <v>-4.3307531621966766E-2</v>
      </c>
    </row>
    <row r="58" spans="1:10" ht="11.25" customHeight="1" x14ac:dyDescent="0.2">
      <c r="A58" s="50">
        <v>44774</v>
      </c>
      <c r="B58" s="40">
        <v>0</v>
      </c>
      <c r="C58" s="40">
        <v>0</v>
      </c>
      <c r="D58" s="40">
        <v>292029.70175999997</v>
      </c>
      <c r="E58" s="40">
        <v>280006.22724647343</v>
      </c>
      <c r="F58" s="40">
        <v>12250.616579999998</v>
      </c>
      <c r="G58" s="40">
        <v>11096.461585074851</v>
      </c>
      <c r="H58" s="41">
        <v>-4.1172094622785482E-2</v>
      </c>
      <c r="I58" s="41">
        <v>-9.4211992301627245E-2</v>
      </c>
      <c r="J58" s="41">
        <v>-4.3307531621966766E-2</v>
      </c>
    </row>
    <row r="59" spans="1:10" ht="11.25" customHeight="1" x14ac:dyDescent="0.2">
      <c r="A59" s="45" t="s">
        <v>43</v>
      </c>
      <c r="B59" s="40">
        <v>2883.7919999999999</v>
      </c>
      <c r="C59" s="40">
        <v>2804.3128953640535</v>
      </c>
      <c r="D59" s="40">
        <v>1647.0198912000001</v>
      </c>
      <c r="E59" s="40">
        <v>1770.202740698586</v>
      </c>
      <c r="F59" s="40">
        <v>706.92082559999994</v>
      </c>
      <c r="G59" s="40">
        <v>640.3204062207127</v>
      </c>
      <c r="H59" s="41">
        <v>9.6458970074488892E-3</v>
      </c>
      <c r="I59" s="41">
        <v>-9.4211992301627356E-2</v>
      </c>
      <c r="J59" s="41">
        <v>-4.3714858612786678E-3</v>
      </c>
    </row>
    <row r="60" spans="1:10" ht="11.25" customHeight="1" x14ac:dyDescent="0.2">
      <c r="A60" s="46" t="s">
        <v>25</v>
      </c>
      <c r="B60" s="40">
        <v>2883.7919999999999</v>
      </c>
      <c r="C60" s="40">
        <v>2804.3128953640535</v>
      </c>
      <c r="D60" s="40">
        <v>1647.0198912000001</v>
      </c>
      <c r="E60" s="40">
        <v>1770.202740698586</v>
      </c>
      <c r="F60" s="40">
        <v>706.92082559999994</v>
      </c>
      <c r="G60" s="40">
        <v>640.3204062207127</v>
      </c>
      <c r="H60" s="41">
        <v>9.6458970074488892E-3</v>
      </c>
      <c r="I60" s="41">
        <v>-9.4211992301627356E-2</v>
      </c>
      <c r="J60" s="41">
        <v>-4.3714858612786678E-3</v>
      </c>
    </row>
    <row r="61" spans="1:10" ht="11.25" customHeight="1" x14ac:dyDescent="0.2">
      <c r="A61" s="47" t="s">
        <v>25</v>
      </c>
      <c r="B61" s="40">
        <v>2883.7919999999999</v>
      </c>
      <c r="C61" s="40">
        <v>2804.3128953640535</v>
      </c>
      <c r="D61" s="40">
        <v>1647.0198912000001</v>
      </c>
      <c r="E61" s="40">
        <v>1770.202740698586</v>
      </c>
      <c r="F61" s="40">
        <v>706.92082559999994</v>
      </c>
      <c r="G61" s="40">
        <v>640.3204062207127</v>
      </c>
      <c r="H61" s="41">
        <v>9.6458970074488892E-3</v>
      </c>
      <c r="I61" s="41">
        <v>-9.4211992301627356E-2</v>
      </c>
      <c r="J61" s="41">
        <v>-4.3714858612786678E-3</v>
      </c>
    </row>
    <row r="62" spans="1:10" ht="11.25" customHeight="1" x14ac:dyDescent="0.2">
      <c r="A62" s="48" t="s">
        <v>25</v>
      </c>
      <c r="B62" s="40">
        <v>2883.7919999999999</v>
      </c>
      <c r="C62" s="40">
        <v>2804.3128953640535</v>
      </c>
      <c r="D62" s="40">
        <v>1647.0198912000001</v>
      </c>
      <c r="E62" s="40">
        <v>1770.202740698586</v>
      </c>
      <c r="F62" s="40">
        <v>706.92082559999994</v>
      </c>
      <c r="G62" s="40">
        <v>640.3204062207127</v>
      </c>
      <c r="H62" s="41">
        <v>9.6458970074488892E-3</v>
      </c>
      <c r="I62" s="41">
        <v>-9.4211992301627356E-2</v>
      </c>
      <c r="J62" s="41">
        <v>-4.3714858612786678E-3</v>
      </c>
    </row>
    <row r="63" spans="1:10" ht="11.25" customHeight="1" x14ac:dyDescent="0.2">
      <c r="A63" s="49" t="s">
        <v>38</v>
      </c>
      <c r="B63" s="40">
        <v>0</v>
      </c>
      <c r="C63" s="40">
        <v>0</v>
      </c>
      <c r="D63" s="40">
        <v>359.40552960000008</v>
      </c>
      <c r="E63" s="40">
        <v>535.60215943203889</v>
      </c>
      <c r="F63" s="40">
        <v>652.90553279999995</v>
      </c>
      <c r="G63" s="40">
        <v>591.39400177015648</v>
      </c>
      <c r="H63" s="41">
        <v>0.49024462708778183</v>
      </c>
      <c r="I63" s="41">
        <v>-9.4211992301627356E-2</v>
      </c>
      <c r="J63" s="41">
        <v>0.11329037393930896</v>
      </c>
    </row>
    <row r="64" spans="1:10" ht="11.25" customHeight="1" x14ac:dyDescent="0.2">
      <c r="A64" s="50">
        <v>44593</v>
      </c>
      <c r="B64" s="40">
        <v>0</v>
      </c>
      <c r="C64" s="40">
        <v>0</v>
      </c>
      <c r="D64" s="40">
        <v>275.02225920000006</v>
      </c>
      <c r="E64" s="40">
        <v>409.85044410234337</v>
      </c>
      <c r="F64" s="40">
        <v>499.61266560000001</v>
      </c>
      <c r="G64" s="40">
        <v>452.54316099469725</v>
      </c>
      <c r="H64" s="41">
        <v>0.49024462708778183</v>
      </c>
      <c r="I64" s="41">
        <v>-9.4211992301627467E-2</v>
      </c>
      <c r="J64" s="41">
        <v>0.11329037393930896</v>
      </c>
    </row>
    <row r="65" spans="1:10" ht="11.25" customHeight="1" x14ac:dyDescent="0.2">
      <c r="A65" s="50">
        <v>44621</v>
      </c>
      <c r="B65" s="40">
        <v>0</v>
      </c>
      <c r="C65" s="40">
        <v>0</v>
      </c>
      <c r="D65" s="40">
        <v>84.383270400000015</v>
      </c>
      <c r="E65" s="40">
        <v>125.75171532969547</v>
      </c>
      <c r="F65" s="40">
        <v>153.29286719999999</v>
      </c>
      <c r="G65" s="40">
        <v>138.8508407754592</v>
      </c>
      <c r="H65" s="41">
        <v>0.49024462708778183</v>
      </c>
      <c r="I65" s="41">
        <v>-9.4211992301627356E-2</v>
      </c>
      <c r="J65" s="41">
        <v>0.11329037393930919</v>
      </c>
    </row>
    <row r="66" spans="1:10" ht="11.25" customHeight="1" x14ac:dyDescent="0.2">
      <c r="A66" s="49" t="s">
        <v>25</v>
      </c>
      <c r="B66" s="40">
        <v>2883.7919999999999</v>
      </c>
      <c r="C66" s="40">
        <v>2804.3128953640535</v>
      </c>
      <c r="D66" s="40">
        <v>0</v>
      </c>
      <c r="E66" s="40">
        <v>0</v>
      </c>
      <c r="F66" s="40">
        <v>0</v>
      </c>
      <c r="G66" s="40">
        <v>0</v>
      </c>
      <c r="H66" s="41">
        <v>-2.7560623178074728E-2</v>
      </c>
      <c r="I66" s="41">
        <v>0</v>
      </c>
      <c r="J66" s="41">
        <v>-2.7560623178074728E-2</v>
      </c>
    </row>
    <row r="67" spans="1:10" ht="11.25" customHeight="1" x14ac:dyDescent="0.2">
      <c r="A67" s="50">
        <v>44593</v>
      </c>
      <c r="B67" s="40">
        <v>1619.664</v>
      </c>
      <c r="C67" s="40">
        <v>1575.0250508209067</v>
      </c>
      <c r="D67" s="40">
        <v>0</v>
      </c>
      <c r="E67" s="40">
        <v>0</v>
      </c>
      <c r="F67" s="40">
        <v>0</v>
      </c>
      <c r="G67" s="40">
        <v>0</v>
      </c>
      <c r="H67" s="41">
        <v>-2.7560623178074728E-2</v>
      </c>
      <c r="I67" s="41">
        <v>0</v>
      </c>
      <c r="J67" s="41">
        <v>-2.7560623178074728E-2</v>
      </c>
    </row>
    <row r="68" spans="1:10" ht="11.25" customHeight="1" x14ac:dyDescent="0.2">
      <c r="A68" s="50">
        <v>44621</v>
      </c>
      <c r="B68" s="40">
        <v>1264.1279999999999</v>
      </c>
      <c r="C68" s="40">
        <v>1229.2878445431468</v>
      </c>
      <c r="D68" s="40">
        <v>0</v>
      </c>
      <c r="E68" s="40">
        <v>0</v>
      </c>
      <c r="F68" s="40">
        <v>0</v>
      </c>
      <c r="G68" s="40">
        <v>0</v>
      </c>
      <c r="H68" s="41">
        <v>-2.7560623178074617E-2</v>
      </c>
      <c r="I68" s="41">
        <v>0</v>
      </c>
      <c r="J68" s="41">
        <v>-2.7560623178074617E-2</v>
      </c>
    </row>
    <row r="69" spans="1:10" ht="11.25" customHeight="1" x14ac:dyDescent="0.2">
      <c r="A69" s="49" t="s">
        <v>37</v>
      </c>
      <c r="B69" s="40">
        <v>0</v>
      </c>
      <c r="C69" s="40">
        <v>0</v>
      </c>
      <c r="D69" s="40">
        <v>1287.6143615999999</v>
      </c>
      <c r="E69" s="40">
        <v>1234.6005812665471</v>
      </c>
      <c r="F69" s="40">
        <v>54.015292799999997</v>
      </c>
      <c r="G69" s="40">
        <v>48.926404450556248</v>
      </c>
      <c r="H69" s="41">
        <v>-4.1172094622785593E-2</v>
      </c>
      <c r="I69" s="41">
        <v>-9.4211992301627356E-2</v>
      </c>
      <c r="J69" s="41">
        <v>-4.3307531621966988E-2</v>
      </c>
    </row>
    <row r="70" spans="1:10" ht="11.25" customHeight="1" x14ac:dyDescent="0.2">
      <c r="A70" s="50">
        <v>44593</v>
      </c>
      <c r="B70" s="40">
        <v>0</v>
      </c>
      <c r="C70" s="40">
        <v>0</v>
      </c>
      <c r="D70" s="40">
        <v>612.23454720000007</v>
      </c>
      <c r="E70" s="40">
        <v>587.02756849134335</v>
      </c>
      <c r="F70" s="40">
        <v>25.6831776</v>
      </c>
      <c r="G70" s="40">
        <v>23.263514269667471</v>
      </c>
      <c r="H70" s="41">
        <v>-4.1172094622785593E-2</v>
      </c>
      <c r="I70" s="41">
        <v>-9.4211992301627356E-2</v>
      </c>
      <c r="J70" s="41">
        <v>-4.3307531621967099E-2</v>
      </c>
    </row>
    <row r="71" spans="1:10" ht="11.25" customHeight="1" x14ac:dyDescent="0.2">
      <c r="A71" s="50">
        <v>44621</v>
      </c>
      <c r="B71" s="40">
        <v>0</v>
      </c>
      <c r="C71" s="40">
        <v>0</v>
      </c>
      <c r="D71" s="40">
        <v>675.37981439999999</v>
      </c>
      <c r="E71" s="40">
        <v>647.57301277520378</v>
      </c>
      <c r="F71" s="40">
        <v>28.332115199999997</v>
      </c>
      <c r="G71" s="40">
        <v>25.662890180888777</v>
      </c>
      <c r="H71" s="41">
        <v>-4.1172094622785593E-2</v>
      </c>
      <c r="I71" s="41">
        <v>-9.4211992301627356E-2</v>
      </c>
      <c r="J71" s="41">
        <v>-4.3307531621966988E-2</v>
      </c>
    </row>
    <row r="72" spans="1:10" ht="11.25" customHeight="1" x14ac:dyDescent="0.2">
      <c r="A72" s="45" t="s">
        <v>48</v>
      </c>
      <c r="B72" s="40">
        <v>35012.477500000001</v>
      </c>
      <c r="C72" s="40">
        <v>34047.511801091685</v>
      </c>
      <c r="D72" s="40">
        <v>139710.9181784</v>
      </c>
      <c r="E72" s="40">
        <v>146284.46799845318</v>
      </c>
      <c r="F72" s="40">
        <v>47022.908533199989</v>
      </c>
      <c r="G72" s="40">
        <v>42592.786636470024</v>
      </c>
      <c r="H72" s="41">
        <v>3.2099788922762107E-2</v>
      </c>
      <c r="I72" s="41">
        <v>-9.4211992301627356E-2</v>
      </c>
      <c r="J72" s="41">
        <v>5.3144616258875566E-3</v>
      </c>
    </row>
    <row r="73" spans="1:10" ht="11.25" customHeight="1" x14ac:dyDescent="0.2">
      <c r="A73" s="46" t="s">
        <v>49</v>
      </c>
      <c r="B73" s="40">
        <v>35012.477500000001</v>
      </c>
      <c r="C73" s="40">
        <v>34047.511801091685</v>
      </c>
      <c r="D73" s="40">
        <v>139710.9181784</v>
      </c>
      <c r="E73" s="40">
        <v>146284.46799845318</v>
      </c>
      <c r="F73" s="40">
        <v>47022.908533199989</v>
      </c>
      <c r="G73" s="40">
        <v>42592.786636470024</v>
      </c>
      <c r="H73" s="41">
        <v>3.2099788922762107E-2</v>
      </c>
      <c r="I73" s="41">
        <v>-9.4211992301627356E-2</v>
      </c>
      <c r="J73" s="41">
        <v>5.3144616258875566E-3</v>
      </c>
    </row>
    <row r="74" spans="1:10" ht="11.25" customHeight="1" x14ac:dyDescent="0.2">
      <c r="A74" s="47" t="s">
        <v>25</v>
      </c>
      <c r="B74" s="40">
        <v>35012.477500000001</v>
      </c>
      <c r="C74" s="40">
        <v>34047.511801091685</v>
      </c>
      <c r="D74" s="40">
        <v>139710.9181784</v>
      </c>
      <c r="E74" s="40">
        <v>146284.46799845318</v>
      </c>
      <c r="F74" s="40">
        <v>47022.908533199989</v>
      </c>
      <c r="G74" s="40">
        <v>42592.786636470024</v>
      </c>
      <c r="H74" s="41">
        <v>3.2099788922762107E-2</v>
      </c>
      <c r="I74" s="41">
        <v>-9.4211992301627356E-2</v>
      </c>
      <c r="J74" s="41">
        <v>5.3144616258875566E-3</v>
      </c>
    </row>
    <row r="75" spans="1:10" ht="11.25" customHeight="1" x14ac:dyDescent="0.2">
      <c r="A75" s="48" t="s">
        <v>25</v>
      </c>
      <c r="B75" s="40">
        <v>35012.477500000001</v>
      </c>
      <c r="C75" s="40">
        <v>34047.511801091685</v>
      </c>
      <c r="D75" s="40">
        <v>139710.9181784</v>
      </c>
      <c r="E75" s="40">
        <v>146284.46799845318</v>
      </c>
      <c r="F75" s="40">
        <v>47022.908533199989</v>
      </c>
      <c r="G75" s="40">
        <v>42592.786636470024</v>
      </c>
      <c r="H75" s="41">
        <v>3.2099788922762107E-2</v>
      </c>
      <c r="I75" s="41">
        <v>-9.4211992301627356E-2</v>
      </c>
      <c r="J75" s="41">
        <v>5.3144616258875566E-3</v>
      </c>
    </row>
    <row r="76" spans="1:10" ht="11.25" customHeight="1" x14ac:dyDescent="0.2">
      <c r="A76" s="49" t="s">
        <v>38</v>
      </c>
      <c r="B76" s="40">
        <v>0</v>
      </c>
      <c r="C76" s="40">
        <v>0</v>
      </c>
      <c r="D76" s="40">
        <v>23194.115765600003</v>
      </c>
      <c r="E76" s="40">
        <v>34564.906399737418</v>
      </c>
      <c r="F76" s="40">
        <v>42135.040405799999</v>
      </c>
      <c r="G76" s="40">
        <v>38165.414303460013</v>
      </c>
      <c r="H76" s="41">
        <v>0.49024462708778183</v>
      </c>
      <c r="I76" s="41">
        <v>-9.4211992301627356E-2</v>
      </c>
      <c r="J76" s="41">
        <v>0.11329037393930919</v>
      </c>
    </row>
    <row r="77" spans="1:10" ht="11.25" customHeight="1" x14ac:dyDescent="0.2">
      <c r="A77" s="50">
        <v>44501</v>
      </c>
      <c r="B77" s="40">
        <v>0</v>
      </c>
      <c r="C77" s="40">
        <v>0</v>
      </c>
      <c r="D77" s="40">
        <v>2515.6947400000004</v>
      </c>
      <c r="E77" s="40">
        <v>3749.0005696779949</v>
      </c>
      <c r="F77" s="40">
        <v>4570.0771949999998</v>
      </c>
      <c r="G77" s="40">
        <v>4139.5211174868173</v>
      </c>
      <c r="H77" s="41">
        <v>0.49024462708778183</v>
      </c>
      <c r="I77" s="41">
        <v>-9.4211992301627356E-2</v>
      </c>
      <c r="J77" s="41">
        <v>0.11329037393930896</v>
      </c>
    </row>
    <row r="78" spans="1:10" ht="11.25" customHeight="1" x14ac:dyDescent="0.2">
      <c r="A78" s="50">
        <v>44531</v>
      </c>
      <c r="B78" s="40">
        <v>0</v>
      </c>
      <c r="C78" s="40">
        <v>0</v>
      </c>
      <c r="D78" s="40">
        <v>2737.9946256000003</v>
      </c>
      <c r="E78" s="40">
        <v>4080.2817797956236</v>
      </c>
      <c r="F78" s="40">
        <v>4973.9130107999999</v>
      </c>
      <c r="G78" s="40">
        <v>4505.310756517546</v>
      </c>
      <c r="H78" s="41">
        <v>0.49024462708778205</v>
      </c>
      <c r="I78" s="41">
        <v>-9.4211992301627356E-2</v>
      </c>
      <c r="J78" s="41">
        <v>0.11329037393930919</v>
      </c>
    </row>
    <row r="79" spans="1:10" ht="11.25" customHeight="1" x14ac:dyDescent="0.2">
      <c r="A79" s="50">
        <v>44562</v>
      </c>
      <c r="B79" s="40">
        <v>0</v>
      </c>
      <c r="C79" s="40">
        <v>0</v>
      </c>
      <c r="D79" s="40">
        <v>2962.0326840000002</v>
      </c>
      <c r="E79" s="40">
        <v>4414.1532925894026</v>
      </c>
      <c r="F79" s="40">
        <v>5380.9064369999996</v>
      </c>
      <c r="G79" s="40">
        <v>4873.9605211815788</v>
      </c>
      <c r="H79" s="41">
        <v>0.49024462708778205</v>
      </c>
      <c r="I79" s="41">
        <v>-9.4211992301627356E-2</v>
      </c>
      <c r="J79" s="41">
        <v>0.11329037393930941</v>
      </c>
    </row>
    <row r="80" spans="1:10" ht="11.25" customHeight="1" x14ac:dyDescent="0.2">
      <c r="A80" s="50">
        <v>44593</v>
      </c>
      <c r="B80" s="40">
        <v>0</v>
      </c>
      <c r="C80" s="40">
        <v>0</v>
      </c>
      <c r="D80" s="40">
        <v>1694.5943248000001</v>
      </c>
      <c r="E80" s="40">
        <v>2525.3600876266478</v>
      </c>
      <c r="F80" s="40">
        <v>3078.4445963999997</v>
      </c>
      <c r="G80" s="40">
        <v>2788.4181977829767</v>
      </c>
      <c r="H80" s="41">
        <v>0.49024462708778205</v>
      </c>
      <c r="I80" s="41">
        <v>-9.4211992301627356E-2</v>
      </c>
      <c r="J80" s="41">
        <v>0.11329037393930896</v>
      </c>
    </row>
    <row r="81" spans="1:10" ht="11.25" customHeight="1" x14ac:dyDescent="0.2">
      <c r="A81" s="50">
        <v>44621</v>
      </c>
      <c r="B81" s="40">
        <v>0</v>
      </c>
      <c r="C81" s="40">
        <v>0</v>
      </c>
      <c r="D81" s="40">
        <v>2065.8804504000004</v>
      </c>
      <c r="E81" s="40">
        <v>3078.6672414142872</v>
      </c>
      <c r="F81" s="40">
        <v>3752.9327321999999</v>
      </c>
      <c r="G81" s="40">
        <v>3399.3614625254481</v>
      </c>
      <c r="H81" s="41">
        <v>0.49024462708778183</v>
      </c>
      <c r="I81" s="41">
        <v>-9.4211992301627356E-2</v>
      </c>
      <c r="J81" s="41">
        <v>0.11329037393930896</v>
      </c>
    </row>
    <row r="82" spans="1:10" ht="11.25" customHeight="1" x14ac:dyDescent="0.2">
      <c r="A82" s="50">
        <v>44652</v>
      </c>
      <c r="B82" s="40">
        <v>0</v>
      </c>
      <c r="C82" s="40">
        <v>0</v>
      </c>
      <c r="D82" s="40">
        <v>2032.1102360000002</v>
      </c>
      <c r="E82" s="40">
        <v>3028.341360849085</v>
      </c>
      <c r="F82" s="40">
        <v>3691.5848730000002</v>
      </c>
      <c r="G82" s="40">
        <v>3343.7933073641198</v>
      </c>
      <c r="H82" s="41">
        <v>0.49024462708778205</v>
      </c>
      <c r="I82" s="41">
        <v>-9.4211992301627467E-2</v>
      </c>
      <c r="J82" s="41">
        <v>0.11329037393930896</v>
      </c>
    </row>
    <row r="83" spans="1:10" ht="11.25" customHeight="1" x14ac:dyDescent="0.2">
      <c r="A83" s="50">
        <v>44682</v>
      </c>
      <c r="B83" s="40">
        <v>0</v>
      </c>
      <c r="C83" s="40">
        <v>0</v>
      </c>
      <c r="D83" s="40">
        <v>2137.8904664000006</v>
      </c>
      <c r="E83" s="40">
        <v>3185.9797808547928</v>
      </c>
      <c r="F83" s="40">
        <v>3883.7480202000002</v>
      </c>
      <c r="G83" s="40">
        <v>3517.8523816194574</v>
      </c>
      <c r="H83" s="41">
        <v>0.49024462708778183</v>
      </c>
      <c r="I83" s="41">
        <v>-9.4211992301627356E-2</v>
      </c>
      <c r="J83" s="41">
        <v>0.11329037393930919</v>
      </c>
    </row>
    <row r="84" spans="1:10" ht="11.25" customHeight="1" x14ac:dyDescent="0.2">
      <c r="A84" s="50">
        <v>44713</v>
      </c>
      <c r="B84" s="40">
        <v>0</v>
      </c>
      <c r="C84" s="40">
        <v>0</v>
      </c>
      <c r="D84" s="40">
        <v>2119.329264</v>
      </c>
      <c r="E84" s="40">
        <v>3158.3190487059037</v>
      </c>
      <c r="F84" s="40">
        <v>3850.0292519999998</v>
      </c>
      <c r="G84" s="40">
        <v>3487.3103257495354</v>
      </c>
      <c r="H84" s="41">
        <v>0.49024462708778205</v>
      </c>
      <c r="I84" s="41">
        <v>-9.4211992301627467E-2</v>
      </c>
      <c r="J84" s="41">
        <v>0.11329037393930896</v>
      </c>
    </row>
    <row r="85" spans="1:10" ht="11.25" customHeight="1" x14ac:dyDescent="0.2">
      <c r="A85" s="50">
        <v>44743</v>
      </c>
      <c r="B85" s="40">
        <v>0</v>
      </c>
      <c r="C85" s="40">
        <v>0</v>
      </c>
      <c r="D85" s="40">
        <v>2464.2944872000003</v>
      </c>
      <c r="E85" s="40">
        <v>3672.4016191118408</v>
      </c>
      <c r="F85" s="40">
        <v>4476.7021445999999</v>
      </c>
      <c r="G85" s="40">
        <v>4054.9431166162658</v>
      </c>
      <c r="H85" s="41">
        <v>0.49024462708778183</v>
      </c>
      <c r="I85" s="41">
        <v>-9.4211992301627356E-2</v>
      </c>
      <c r="J85" s="41">
        <v>0.11329037393930896</v>
      </c>
    </row>
    <row r="86" spans="1:10" ht="11.25" customHeight="1" x14ac:dyDescent="0.2">
      <c r="A86" s="50">
        <v>44774</v>
      </c>
      <c r="B86" s="40">
        <v>0</v>
      </c>
      <c r="C86" s="40">
        <v>0</v>
      </c>
      <c r="D86" s="40">
        <v>2464.2944872000003</v>
      </c>
      <c r="E86" s="40">
        <v>3672.4016191118408</v>
      </c>
      <c r="F86" s="40">
        <v>4476.7021445999999</v>
      </c>
      <c r="G86" s="40">
        <v>4054.9431166162658</v>
      </c>
      <c r="H86" s="41">
        <v>0.49024462708778183</v>
      </c>
      <c r="I86" s="41">
        <v>-9.4211992301627356E-2</v>
      </c>
      <c r="J86" s="41">
        <v>0.11329037393930896</v>
      </c>
    </row>
    <row r="87" spans="1:10" ht="11.25" customHeight="1" x14ac:dyDescent="0.2">
      <c r="A87" s="49" t="s">
        <v>25</v>
      </c>
      <c r="B87" s="40">
        <v>35012.477500000001</v>
      </c>
      <c r="C87" s="40">
        <v>34047.511801091685</v>
      </c>
      <c r="D87" s="40">
        <v>0</v>
      </c>
      <c r="E87" s="40">
        <v>0</v>
      </c>
      <c r="F87" s="40">
        <v>0</v>
      </c>
      <c r="G87" s="40">
        <v>0</v>
      </c>
      <c r="H87" s="41">
        <v>-2.7560623178074617E-2</v>
      </c>
      <c r="I87" s="41">
        <v>0</v>
      </c>
      <c r="J87" s="41">
        <v>-2.7560623178074617E-2</v>
      </c>
    </row>
    <row r="88" spans="1:10" ht="11.25" customHeight="1" x14ac:dyDescent="0.2">
      <c r="A88" s="50">
        <v>44501</v>
      </c>
      <c r="B88" s="40">
        <v>3497.75</v>
      </c>
      <c r="C88" s="40">
        <v>3401.3498302788894</v>
      </c>
      <c r="D88" s="40">
        <v>0</v>
      </c>
      <c r="E88" s="40">
        <v>0</v>
      </c>
      <c r="F88" s="40">
        <v>0</v>
      </c>
      <c r="G88" s="40">
        <v>0</v>
      </c>
      <c r="H88" s="41">
        <v>-2.7560623178074617E-2</v>
      </c>
      <c r="I88" s="41">
        <v>0</v>
      </c>
      <c r="J88" s="41">
        <v>-2.7560623178074617E-2</v>
      </c>
    </row>
    <row r="89" spans="1:10" ht="11.25" customHeight="1" x14ac:dyDescent="0.2">
      <c r="A89" s="50">
        <v>44531</v>
      </c>
      <c r="B89" s="40">
        <v>3497.75</v>
      </c>
      <c r="C89" s="40">
        <v>3401.3498302788894</v>
      </c>
      <c r="D89" s="40">
        <v>0</v>
      </c>
      <c r="E89" s="40">
        <v>0</v>
      </c>
      <c r="F89" s="40">
        <v>0</v>
      </c>
      <c r="G89" s="40">
        <v>0</v>
      </c>
      <c r="H89" s="41">
        <v>-2.7560623178074617E-2</v>
      </c>
      <c r="I89" s="41">
        <v>0</v>
      </c>
      <c r="J89" s="41">
        <v>-2.7560623178074617E-2</v>
      </c>
    </row>
    <row r="90" spans="1:10" ht="11.25" customHeight="1" x14ac:dyDescent="0.2">
      <c r="A90" s="50">
        <v>44562</v>
      </c>
      <c r="B90" s="40">
        <v>3532.7274999999995</v>
      </c>
      <c r="C90" s="40">
        <v>3435.3633285816777</v>
      </c>
      <c r="D90" s="40">
        <v>0</v>
      </c>
      <c r="E90" s="40">
        <v>0</v>
      </c>
      <c r="F90" s="40">
        <v>0</v>
      </c>
      <c r="G90" s="40">
        <v>0</v>
      </c>
      <c r="H90" s="41">
        <v>-2.7560623178074728E-2</v>
      </c>
      <c r="I90" s="41">
        <v>0</v>
      </c>
      <c r="J90" s="41">
        <v>-2.7560623178074728E-2</v>
      </c>
    </row>
    <row r="91" spans="1:10" ht="11.25" customHeight="1" x14ac:dyDescent="0.2">
      <c r="A91" s="50">
        <v>44593</v>
      </c>
      <c r="B91" s="40">
        <v>3497.75</v>
      </c>
      <c r="C91" s="40">
        <v>3401.3498302788894</v>
      </c>
      <c r="D91" s="40">
        <v>0</v>
      </c>
      <c r="E91" s="40">
        <v>0</v>
      </c>
      <c r="F91" s="40">
        <v>0</v>
      </c>
      <c r="G91" s="40">
        <v>0</v>
      </c>
      <c r="H91" s="41">
        <v>-2.7560623178074617E-2</v>
      </c>
      <c r="I91" s="41">
        <v>0</v>
      </c>
      <c r="J91" s="41">
        <v>-2.7560623178074617E-2</v>
      </c>
    </row>
    <row r="92" spans="1:10" ht="11.25" customHeight="1" x14ac:dyDescent="0.2">
      <c r="A92" s="50">
        <v>44621</v>
      </c>
      <c r="B92" s="40">
        <v>3497.75</v>
      </c>
      <c r="C92" s="40">
        <v>3401.3498302788894</v>
      </c>
      <c r="D92" s="40">
        <v>0</v>
      </c>
      <c r="E92" s="40">
        <v>0</v>
      </c>
      <c r="F92" s="40">
        <v>0</v>
      </c>
      <c r="G92" s="40">
        <v>0</v>
      </c>
      <c r="H92" s="41">
        <v>-2.7560623178074617E-2</v>
      </c>
      <c r="I92" s="41">
        <v>0</v>
      </c>
      <c r="J92" s="41">
        <v>-2.7560623178074617E-2</v>
      </c>
    </row>
    <row r="93" spans="1:10" ht="11.25" customHeight="1" x14ac:dyDescent="0.2">
      <c r="A93" s="50">
        <v>44652</v>
      </c>
      <c r="B93" s="40">
        <v>3497.75</v>
      </c>
      <c r="C93" s="40">
        <v>3401.3498302788894</v>
      </c>
      <c r="D93" s="40">
        <v>0</v>
      </c>
      <c r="E93" s="40">
        <v>0</v>
      </c>
      <c r="F93" s="40">
        <v>0</v>
      </c>
      <c r="G93" s="40">
        <v>0</v>
      </c>
      <c r="H93" s="41">
        <v>-2.7560623178074617E-2</v>
      </c>
      <c r="I93" s="41">
        <v>0</v>
      </c>
      <c r="J93" s="41">
        <v>-2.7560623178074617E-2</v>
      </c>
    </row>
    <row r="94" spans="1:10" ht="11.25" customHeight="1" x14ac:dyDescent="0.2">
      <c r="A94" s="50">
        <v>44682</v>
      </c>
      <c r="B94" s="40">
        <v>3497.75</v>
      </c>
      <c r="C94" s="40">
        <v>3401.3498302788894</v>
      </c>
      <c r="D94" s="40">
        <v>0</v>
      </c>
      <c r="E94" s="40">
        <v>0</v>
      </c>
      <c r="F94" s="40">
        <v>0</v>
      </c>
      <c r="G94" s="40">
        <v>0</v>
      </c>
      <c r="H94" s="41">
        <v>-2.7560623178074617E-2</v>
      </c>
      <c r="I94" s="41">
        <v>0</v>
      </c>
      <c r="J94" s="41">
        <v>-2.7560623178074617E-2</v>
      </c>
    </row>
    <row r="95" spans="1:10" ht="11.25" customHeight="1" x14ac:dyDescent="0.2">
      <c r="A95" s="50">
        <v>44713</v>
      </c>
      <c r="B95" s="40">
        <v>3497.75</v>
      </c>
      <c r="C95" s="40">
        <v>3401.3498302788894</v>
      </c>
      <c r="D95" s="40">
        <v>0</v>
      </c>
      <c r="E95" s="40">
        <v>0</v>
      </c>
      <c r="F95" s="40">
        <v>0</v>
      </c>
      <c r="G95" s="40">
        <v>0</v>
      </c>
      <c r="H95" s="41">
        <v>-2.7560623178074617E-2</v>
      </c>
      <c r="I95" s="41">
        <v>0</v>
      </c>
      <c r="J95" s="41">
        <v>-2.7560623178074617E-2</v>
      </c>
    </row>
    <row r="96" spans="1:10" ht="11.25" customHeight="1" x14ac:dyDescent="0.2">
      <c r="A96" s="50">
        <v>44743</v>
      </c>
      <c r="B96" s="40">
        <v>3497.75</v>
      </c>
      <c r="C96" s="40">
        <v>3401.3498302788894</v>
      </c>
      <c r="D96" s="40">
        <v>0</v>
      </c>
      <c r="E96" s="40">
        <v>0</v>
      </c>
      <c r="F96" s="40">
        <v>0</v>
      </c>
      <c r="G96" s="40">
        <v>0</v>
      </c>
      <c r="H96" s="41">
        <v>-2.7560623178074617E-2</v>
      </c>
      <c r="I96" s="41">
        <v>0</v>
      </c>
      <c r="J96" s="41">
        <v>-2.7560623178074617E-2</v>
      </c>
    </row>
    <row r="97" spans="1:10" ht="11.25" customHeight="1" x14ac:dyDescent="0.2">
      <c r="A97" s="50">
        <v>44774</v>
      </c>
      <c r="B97" s="40">
        <v>3497.75</v>
      </c>
      <c r="C97" s="40">
        <v>3401.3498302788894</v>
      </c>
      <c r="D97" s="40">
        <v>0</v>
      </c>
      <c r="E97" s="40">
        <v>0</v>
      </c>
      <c r="F97" s="40">
        <v>0</v>
      </c>
      <c r="G97" s="40">
        <v>0</v>
      </c>
      <c r="H97" s="41">
        <v>-2.7560623178074617E-2</v>
      </c>
      <c r="I97" s="41">
        <v>0</v>
      </c>
      <c r="J97" s="41">
        <v>-2.7560623178074617E-2</v>
      </c>
    </row>
    <row r="98" spans="1:10" ht="11.25" customHeight="1" x14ac:dyDescent="0.2">
      <c r="A98" s="49" t="s">
        <v>37</v>
      </c>
      <c r="B98" s="40">
        <v>0</v>
      </c>
      <c r="C98" s="40">
        <v>0</v>
      </c>
      <c r="D98" s="40">
        <v>116516.8024128</v>
      </c>
      <c r="E98" s="40">
        <v>111719.56159871581</v>
      </c>
      <c r="F98" s="40">
        <v>4887.8681273999991</v>
      </c>
      <c r="G98" s="40">
        <v>4427.3723330100211</v>
      </c>
      <c r="H98" s="41">
        <v>-4.1172094622785371E-2</v>
      </c>
      <c r="I98" s="41">
        <v>-9.4211992301627245E-2</v>
      </c>
      <c r="J98" s="41">
        <v>-4.3307531621966766E-2</v>
      </c>
    </row>
    <row r="99" spans="1:10" ht="11.25" customHeight="1" x14ac:dyDescent="0.2">
      <c r="A99" s="50">
        <v>44501</v>
      </c>
      <c r="B99" s="40">
        <v>0</v>
      </c>
      <c r="C99" s="40">
        <v>0</v>
      </c>
      <c r="D99" s="40">
        <v>12261.106425600001</v>
      </c>
      <c r="E99" s="40">
        <v>11756.290991665153</v>
      </c>
      <c r="F99" s="40">
        <v>514.35217980000004</v>
      </c>
      <c r="G99" s="40">
        <v>465.89403619635715</v>
      </c>
      <c r="H99" s="41">
        <v>-4.1172094622785593E-2</v>
      </c>
      <c r="I99" s="41">
        <v>-9.4211992301627467E-2</v>
      </c>
      <c r="J99" s="41">
        <v>-4.3307531621966877E-2</v>
      </c>
    </row>
    <row r="100" spans="1:10" ht="11.25" customHeight="1" x14ac:dyDescent="0.2">
      <c r="A100" s="50">
        <v>44531</v>
      </c>
      <c r="B100" s="40">
        <v>0</v>
      </c>
      <c r="C100" s="40">
        <v>0</v>
      </c>
      <c r="D100" s="40">
        <v>15567.6534336</v>
      </c>
      <c r="E100" s="40">
        <v>14926.700533377087</v>
      </c>
      <c r="F100" s="40">
        <v>653.06149379999999</v>
      </c>
      <c r="G100" s="40">
        <v>591.53526937362506</v>
      </c>
      <c r="H100" s="41">
        <v>-4.1172094622785704E-2</v>
      </c>
      <c r="I100" s="41">
        <v>-9.4211992301627467E-2</v>
      </c>
      <c r="J100" s="41">
        <v>-4.3307531621966988E-2</v>
      </c>
    </row>
    <row r="101" spans="1:10" ht="11.25" customHeight="1" x14ac:dyDescent="0.2">
      <c r="A101" s="50">
        <v>44562</v>
      </c>
      <c r="B101" s="40">
        <v>0</v>
      </c>
      <c r="C101" s="40">
        <v>0</v>
      </c>
      <c r="D101" s="40">
        <v>15290.763724800001</v>
      </c>
      <c r="E101" s="40">
        <v>14661.21095386788</v>
      </c>
      <c r="F101" s="40">
        <v>641.44599840000001</v>
      </c>
      <c r="G101" s="40">
        <v>581.01409293682957</v>
      </c>
      <c r="H101" s="41">
        <v>-4.1172094622785482E-2</v>
      </c>
      <c r="I101" s="41">
        <v>-9.4211992301627245E-2</v>
      </c>
      <c r="J101" s="41">
        <v>-4.3307531621966877E-2</v>
      </c>
    </row>
    <row r="102" spans="1:10" ht="11.25" customHeight="1" x14ac:dyDescent="0.2">
      <c r="A102" s="50">
        <v>44593</v>
      </c>
      <c r="B102" s="40">
        <v>0</v>
      </c>
      <c r="C102" s="40">
        <v>0</v>
      </c>
      <c r="D102" s="40">
        <v>9121.2308928000002</v>
      </c>
      <c r="E102" s="40">
        <v>8745.6907114053647</v>
      </c>
      <c r="F102" s="40">
        <v>382.6347174</v>
      </c>
      <c r="G102" s="40">
        <v>346.58593834997583</v>
      </c>
      <c r="H102" s="41">
        <v>-4.1172094622785482E-2</v>
      </c>
      <c r="I102" s="41">
        <v>-9.4211992301627356E-2</v>
      </c>
      <c r="J102" s="41">
        <v>-4.3307531621966877E-2</v>
      </c>
    </row>
    <row r="103" spans="1:10" ht="11.25" customHeight="1" x14ac:dyDescent="0.2">
      <c r="A103" s="50">
        <v>44621</v>
      </c>
      <c r="B103" s="40">
        <v>0</v>
      </c>
      <c r="C103" s="40">
        <v>0</v>
      </c>
      <c r="D103" s="40">
        <v>9435.756096000001</v>
      </c>
      <c r="E103" s="40">
        <v>9047.2662531779624</v>
      </c>
      <c r="F103" s="40">
        <v>395.82901799999996</v>
      </c>
      <c r="G103" s="40">
        <v>358.53717760342323</v>
      </c>
      <c r="H103" s="41">
        <v>-4.1172094622785704E-2</v>
      </c>
      <c r="I103" s="41">
        <v>-9.4211992301627356E-2</v>
      </c>
      <c r="J103" s="41">
        <v>-4.3307531621967099E-2</v>
      </c>
    </row>
    <row r="104" spans="1:10" ht="11.25" customHeight="1" x14ac:dyDescent="0.2">
      <c r="A104" s="50">
        <v>44652</v>
      </c>
      <c r="B104" s="40">
        <v>0</v>
      </c>
      <c r="C104" s="40">
        <v>0</v>
      </c>
      <c r="D104" s="40">
        <v>8997.5714112000005</v>
      </c>
      <c r="E104" s="40">
        <v>8627.1225496828047</v>
      </c>
      <c r="F104" s="40">
        <v>377.4472146</v>
      </c>
      <c r="G104" s="40">
        <v>341.8871605238341</v>
      </c>
      <c r="H104" s="41">
        <v>-4.1172094622785482E-2</v>
      </c>
      <c r="I104" s="41">
        <v>-9.4211992301627356E-2</v>
      </c>
      <c r="J104" s="41">
        <v>-4.3307531621966877E-2</v>
      </c>
    </row>
    <row r="105" spans="1:10" ht="11.25" customHeight="1" x14ac:dyDescent="0.2">
      <c r="A105" s="50">
        <v>44682</v>
      </c>
      <c r="B105" s="40">
        <v>0</v>
      </c>
      <c r="C105" s="40">
        <v>0</v>
      </c>
      <c r="D105" s="40">
        <v>10959.9936192</v>
      </c>
      <c r="E105" s="40">
        <v>10508.747724845172</v>
      </c>
      <c r="F105" s="40">
        <v>459.77062860000001</v>
      </c>
      <c r="G105" s="40">
        <v>416.45472167782242</v>
      </c>
      <c r="H105" s="41">
        <v>-4.1172094622785482E-2</v>
      </c>
      <c r="I105" s="41">
        <v>-9.4211992301627356E-2</v>
      </c>
      <c r="J105" s="41">
        <v>-4.3307531621966766E-2</v>
      </c>
    </row>
    <row r="106" spans="1:10" ht="11.25" customHeight="1" x14ac:dyDescent="0.2">
      <c r="A106" s="50">
        <v>44713</v>
      </c>
      <c r="B106" s="40">
        <v>0</v>
      </c>
      <c r="C106" s="40">
        <v>0</v>
      </c>
      <c r="D106" s="40">
        <v>10468.0439424</v>
      </c>
      <c r="E106" s="40">
        <v>10037.052646688029</v>
      </c>
      <c r="F106" s="40">
        <v>439.13338919999995</v>
      </c>
      <c r="G106" s="40">
        <v>397.76175771730203</v>
      </c>
      <c r="H106" s="41">
        <v>-4.1172094622785593E-2</v>
      </c>
      <c r="I106" s="41">
        <v>-9.4211992301627356E-2</v>
      </c>
      <c r="J106" s="41">
        <v>-4.3307531621966988E-2</v>
      </c>
    </row>
    <row r="107" spans="1:10" ht="11.25" customHeight="1" x14ac:dyDescent="0.2">
      <c r="A107" s="50">
        <v>44743</v>
      </c>
      <c r="B107" s="40">
        <v>0</v>
      </c>
      <c r="C107" s="40">
        <v>0</v>
      </c>
      <c r="D107" s="40">
        <v>12207.341433600001</v>
      </c>
      <c r="E107" s="40">
        <v>11704.73961700317</v>
      </c>
      <c r="F107" s="40">
        <v>512.09674380000001</v>
      </c>
      <c r="G107" s="40">
        <v>463.8510893154259</v>
      </c>
      <c r="H107" s="41">
        <v>-4.1172094622785593E-2</v>
      </c>
      <c r="I107" s="41">
        <v>-9.4211992301627467E-2</v>
      </c>
      <c r="J107" s="41">
        <v>-4.3307531621967099E-2</v>
      </c>
    </row>
    <row r="108" spans="1:10" ht="11.25" customHeight="1" x14ac:dyDescent="0.2">
      <c r="A108" s="50">
        <v>44774</v>
      </c>
      <c r="B108" s="40">
        <v>0</v>
      </c>
      <c r="C108" s="40">
        <v>0</v>
      </c>
      <c r="D108" s="40">
        <v>12207.341433600001</v>
      </c>
      <c r="E108" s="40">
        <v>11704.73961700317</v>
      </c>
      <c r="F108" s="40">
        <v>512.09674380000001</v>
      </c>
      <c r="G108" s="40">
        <v>463.8510893154259</v>
      </c>
      <c r="H108" s="41">
        <v>-4.1172094622785593E-2</v>
      </c>
      <c r="I108" s="41">
        <v>-9.4211992301627467E-2</v>
      </c>
      <c r="J108" s="41">
        <v>-4.3307531621967099E-2</v>
      </c>
    </row>
    <row r="109" spans="1:10" ht="11.25" customHeight="1" x14ac:dyDescent="0.2">
      <c r="A109" s="43" t="s">
        <v>22</v>
      </c>
      <c r="B109" s="40">
        <v>0</v>
      </c>
      <c r="C109" s="40">
        <v>0</v>
      </c>
      <c r="D109" s="40">
        <v>4165902.4913599999</v>
      </c>
      <c r="E109" s="40">
        <v>4192079.1452918346</v>
      </c>
      <c r="F109" s="40">
        <v>823565.41420000023</v>
      </c>
      <c r="G109" s="40">
        <v>745975.12059271464</v>
      </c>
      <c r="H109" s="41">
        <v>6.2835493596222758E-3</v>
      </c>
      <c r="I109" s="41">
        <v>-9.4212666376545351E-2</v>
      </c>
      <c r="J109" s="41">
        <v>-1.03044333882093E-2</v>
      </c>
    </row>
    <row r="110" spans="1:10" ht="11.25" customHeight="1" x14ac:dyDescent="0.2">
      <c r="A110" s="44" t="s">
        <v>23</v>
      </c>
      <c r="B110" s="40">
        <v>0</v>
      </c>
      <c r="C110" s="40">
        <v>0</v>
      </c>
      <c r="D110" s="40">
        <v>4165902.4913599999</v>
      </c>
      <c r="E110" s="40">
        <v>4192079.1452918346</v>
      </c>
      <c r="F110" s="40">
        <v>823565.41420000023</v>
      </c>
      <c r="G110" s="40">
        <v>745975.12059271464</v>
      </c>
      <c r="H110" s="41">
        <v>6.2835493596222758E-3</v>
      </c>
      <c r="I110" s="41">
        <v>-9.4212666376545351E-2</v>
      </c>
      <c r="J110" s="41">
        <v>-1.03044333882093E-2</v>
      </c>
    </row>
    <row r="111" spans="1:10" ht="11.25" customHeight="1" x14ac:dyDescent="0.2">
      <c r="A111" s="45" t="s">
        <v>24</v>
      </c>
      <c r="B111" s="40">
        <v>0</v>
      </c>
      <c r="C111" s="40">
        <v>0</v>
      </c>
      <c r="D111" s="40">
        <v>4165902.4913599999</v>
      </c>
      <c r="E111" s="40">
        <v>4192079.1452918346</v>
      </c>
      <c r="F111" s="40">
        <v>823565.41420000023</v>
      </c>
      <c r="G111" s="40">
        <v>745975.12059271464</v>
      </c>
      <c r="H111" s="41">
        <v>6.2835493596222758E-3</v>
      </c>
      <c r="I111" s="41">
        <v>-9.4212666376545351E-2</v>
      </c>
      <c r="J111" s="41">
        <v>-1.03044333882093E-2</v>
      </c>
    </row>
    <row r="112" spans="1:10" ht="11.25" customHeight="1" x14ac:dyDescent="0.2">
      <c r="A112" s="46" t="s">
        <v>24</v>
      </c>
      <c r="B112" s="40">
        <v>0</v>
      </c>
      <c r="C112" s="40">
        <v>0</v>
      </c>
      <c r="D112" s="40">
        <v>4035763.1169599998</v>
      </c>
      <c r="E112" s="40">
        <v>4070307.9347473024</v>
      </c>
      <c r="F112" s="40">
        <v>794947.13351999992</v>
      </c>
      <c r="G112" s="40">
        <v>720053.58029661316</v>
      </c>
      <c r="H112" s="41">
        <v>8.5596742886446808E-3</v>
      </c>
      <c r="I112" s="41">
        <v>-9.4211992301627467E-2</v>
      </c>
      <c r="J112" s="41">
        <v>-8.3525472123018307E-3</v>
      </c>
    </row>
    <row r="113" spans="1:10" ht="11.25" customHeight="1" x14ac:dyDescent="0.2">
      <c r="A113" s="47" t="s">
        <v>25</v>
      </c>
      <c r="B113" s="40">
        <v>0</v>
      </c>
      <c r="C113" s="40">
        <v>0</v>
      </c>
      <c r="D113" s="40">
        <v>4035763.1169599998</v>
      </c>
      <c r="E113" s="40">
        <v>4070307.9347473024</v>
      </c>
      <c r="F113" s="40">
        <v>794947.13351999992</v>
      </c>
      <c r="G113" s="40">
        <v>720053.58029661316</v>
      </c>
      <c r="H113" s="41">
        <v>8.5596742886446808E-3</v>
      </c>
      <c r="I113" s="41">
        <v>-9.4211992301627467E-2</v>
      </c>
      <c r="J113" s="41">
        <v>-8.3525472123018307E-3</v>
      </c>
    </row>
    <row r="114" spans="1:10" ht="11.25" customHeight="1" x14ac:dyDescent="0.2">
      <c r="A114" s="48" t="s">
        <v>25</v>
      </c>
      <c r="B114" s="40">
        <v>0</v>
      </c>
      <c r="C114" s="40">
        <v>0</v>
      </c>
      <c r="D114" s="40">
        <v>4035763.1169599998</v>
      </c>
      <c r="E114" s="40">
        <v>4070307.9347473024</v>
      </c>
      <c r="F114" s="40">
        <v>794947.13351999992</v>
      </c>
      <c r="G114" s="40">
        <v>720053.58029661316</v>
      </c>
      <c r="H114" s="41">
        <v>8.5596742886446808E-3</v>
      </c>
      <c r="I114" s="41">
        <v>-9.4211992301627467E-2</v>
      </c>
      <c r="J114" s="41">
        <v>-8.3525472123018307E-3</v>
      </c>
    </row>
    <row r="115" spans="1:10" ht="11.25" customHeight="1" x14ac:dyDescent="0.2">
      <c r="A115" s="49" t="s">
        <v>25</v>
      </c>
      <c r="B115" s="40">
        <v>0</v>
      </c>
      <c r="C115" s="40">
        <v>0</v>
      </c>
      <c r="D115" s="40">
        <v>4035763.1169599998</v>
      </c>
      <c r="E115" s="40">
        <v>4070307.9347473024</v>
      </c>
      <c r="F115" s="40">
        <v>794947.13351999992</v>
      </c>
      <c r="G115" s="40">
        <v>720053.58029661316</v>
      </c>
      <c r="H115" s="41">
        <v>8.5596742886446808E-3</v>
      </c>
      <c r="I115" s="41">
        <v>-9.4211992301627467E-2</v>
      </c>
      <c r="J115" s="41">
        <v>-8.3525472123018307E-3</v>
      </c>
    </row>
    <row r="116" spans="1:10" ht="11.25" customHeight="1" x14ac:dyDescent="0.2">
      <c r="A116" s="50">
        <v>44440</v>
      </c>
      <c r="B116" s="40">
        <v>0</v>
      </c>
      <c r="C116" s="40">
        <v>0</v>
      </c>
      <c r="D116" s="40">
        <v>296410.01208000001</v>
      </c>
      <c r="E116" s="40">
        <v>298947.18523929798</v>
      </c>
      <c r="F116" s="40">
        <v>58385.559960000006</v>
      </c>
      <c r="G116" s="40">
        <v>52884.940034522282</v>
      </c>
      <c r="H116" s="41">
        <v>8.5596742886444588E-3</v>
      </c>
      <c r="I116" s="41">
        <v>-9.4211992301627356E-2</v>
      </c>
      <c r="J116" s="41">
        <v>-8.3525472123018307E-3</v>
      </c>
    </row>
    <row r="117" spans="1:10" ht="11.25" customHeight="1" x14ac:dyDescent="0.2">
      <c r="A117" s="50">
        <v>44470</v>
      </c>
      <c r="B117" s="40">
        <v>0</v>
      </c>
      <c r="C117" s="40">
        <v>0</v>
      </c>
      <c r="D117" s="40">
        <v>325650.98267999996</v>
      </c>
      <c r="E117" s="40">
        <v>328438.44902351778</v>
      </c>
      <c r="F117" s="40">
        <v>64145.319659999994</v>
      </c>
      <c r="G117" s="40">
        <v>58102.061298006651</v>
      </c>
      <c r="H117" s="41">
        <v>8.5596742886444588E-3</v>
      </c>
      <c r="I117" s="41">
        <v>-9.4211992301627356E-2</v>
      </c>
      <c r="J117" s="41">
        <v>-8.3525472123017197E-3</v>
      </c>
    </row>
    <row r="118" spans="1:10" ht="11.25" customHeight="1" x14ac:dyDescent="0.2">
      <c r="A118" s="50">
        <v>44501</v>
      </c>
      <c r="B118" s="40">
        <v>0</v>
      </c>
      <c r="C118" s="40">
        <v>0</v>
      </c>
      <c r="D118" s="40">
        <v>309526.11917999992</v>
      </c>
      <c r="E118" s="40">
        <v>312175.56194400892</v>
      </c>
      <c r="F118" s="40">
        <v>60969.11391</v>
      </c>
      <c r="G118" s="40">
        <v>55225.092219674036</v>
      </c>
      <c r="H118" s="41">
        <v>8.5596742886446808E-3</v>
      </c>
      <c r="I118" s="41">
        <v>-9.4211992301627356E-2</v>
      </c>
      <c r="J118" s="41">
        <v>-8.3525472123018307E-3</v>
      </c>
    </row>
    <row r="119" spans="1:10" ht="11.25" customHeight="1" x14ac:dyDescent="0.2">
      <c r="A119" s="50">
        <v>44531</v>
      </c>
      <c r="B119" s="40">
        <v>0</v>
      </c>
      <c r="C119" s="40">
        <v>0</v>
      </c>
      <c r="D119" s="40">
        <v>305112.87041999993</v>
      </c>
      <c r="E119" s="40">
        <v>307724.53721206851</v>
      </c>
      <c r="F119" s="40">
        <v>60099.811289999998</v>
      </c>
      <c r="G119" s="40">
        <v>54437.688331417252</v>
      </c>
      <c r="H119" s="41">
        <v>8.5596742886444588E-3</v>
      </c>
      <c r="I119" s="41">
        <v>-9.4211992301627467E-2</v>
      </c>
      <c r="J119" s="41">
        <v>-8.3525472123018307E-3</v>
      </c>
    </row>
    <row r="120" spans="1:10" ht="11.25" customHeight="1" x14ac:dyDescent="0.2">
      <c r="A120" s="50">
        <v>44562</v>
      </c>
      <c r="B120" s="40">
        <v>0</v>
      </c>
      <c r="C120" s="40">
        <v>0</v>
      </c>
      <c r="D120" s="40">
        <v>349021.83299999998</v>
      </c>
      <c r="E120" s="40">
        <v>352009.34621010569</v>
      </c>
      <c r="F120" s="40">
        <v>68748.808499999985</v>
      </c>
      <c r="G120" s="40">
        <v>62271.84628285194</v>
      </c>
      <c r="H120" s="41">
        <v>8.5596742886446808E-3</v>
      </c>
      <c r="I120" s="41">
        <v>-9.4211992301627245E-2</v>
      </c>
      <c r="J120" s="41">
        <v>-8.3525472123017197E-3</v>
      </c>
    </row>
    <row r="121" spans="1:10" ht="11.25" customHeight="1" x14ac:dyDescent="0.2">
      <c r="A121" s="50">
        <v>44593</v>
      </c>
      <c r="B121" s="40">
        <v>0</v>
      </c>
      <c r="C121" s="40">
        <v>0</v>
      </c>
      <c r="D121" s="40">
        <v>406828.32665999996</v>
      </c>
      <c r="E121" s="40">
        <v>410310.64462760382</v>
      </c>
      <c r="F121" s="40">
        <v>80135.281170000002</v>
      </c>
      <c r="G121" s="40">
        <v>72585.576677323217</v>
      </c>
      <c r="H121" s="41">
        <v>8.5596742886444588E-3</v>
      </c>
      <c r="I121" s="41">
        <v>-9.4211992301627356E-2</v>
      </c>
      <c r="J121" s="41">
        <v>-8.3525472123019417E-3</v>
      </c>
    </row>
    <row r="122" spans="1:10" ht="11.25" customHeight="1" x14ac:dyDescent="0.2">
      <c r="A122" s="50">
        <v>44621</v>
      </c>
      <c r="B122" s="40">
        <v>0</v>
      </c>
      <c r="C122" s="40">
        <v>0</v>
      </c>
      <c r="D122" s="40">
        <v>360668.27831999998</v>
      </c>
      <c r="E122" s="40">
        <v>363755.48130866536</v>
      </c>
      <c r="F122" s="40">
        <v>71042.874840000004</v>
      </c>
      <c r="G122" s="40">
        <v>64349.784062488448</v>
      </c>
      <c r="H122" s="41">
        <v>8.5596742886444588E-3</v>
      </c>
      <c r="I122" s="41">
        <v>-9.4211992301627356E-2</v>
      </c>
      <c r="J122" s="41">
        <v>-8.3525472123018307E-3</v>
      </c>
    </row>
    <row r="123" spans="1:10" ht="11.25" customHeight="1" x14ac:dyDescent="0.2">
      <c r="A123" s="50">
        <v>44652</v>
      </c>
      <c r="B123" s="40">
        <v>0</v>
      </c>
      <c r="C123" s="40">
        <v>0</v>
      </c>
      <c r="D123" s="40">
        <v>318154.06314000004</v>
      </c>
      <c r="E123" s="40">
        <v>320877.35829408729</v>
      </c>
      <c r="F123" s="40">
        <v>62668.608930000009</v>
      </c>
      <c r="G123" s="40">
        <v>56764.47442793315</v>
      </c>
      <c r="H123" s="41">
        <v>8.5596742886444588E-3</v>
      </c>
      <c r="I123" s="41">
        <v>-9.4211992301627356E-2</v>
      </c>
      <c r="J123" s="41">
        <v>-8.3525472123017197E-3</v>
      </c>
    </row>
    <row r="124" spans="1:10" ht="11.25" customHeight="1" x14ac:dyDescent="0.2">
      <c r="A124" s="50">
        <v>44682</v>
      </c>
      <c r="B124" s="40">
        <v>0</v>
      </c>
      <c r="C124" s="40">
        <v>0</v>
      </c>
      <c r="D124" s="40">
        <v>297323.60207999998</v>
      </c>
      <c r="E124" s="40">
        <v>299868.59527213138</v>
      </c>
      <c r="F124" s="40">
        <v>58565.51496</v>
      </c>
      <c r="G124" s="40">
        <v>53047.94111544764</v>
      </c>
      <c r="H124" s="41">
        <v>8.5596742886446808E-3</v>
      </c>
      <c r="I124" s="41">
        <v>-9.4211992301627356E-2</v>
      </c>
      <c r="J124" s="41">
        <v>-8.3525472123016087E-3</v>
      </c>
    </row>
    <row r="125" spans="1:10" ht="11.25" customHeight="1" x14ac:dyDescent="0.2">
      <c r="A125" s="50">
        <v>44713</v>
      </c>
      <c r="B125" s="40">
        <v>0</v>
      </c>
      <c r="C125" s="40">
        <v>0</v>
      </c>
      <c r="D125" s="40">
        <v>349800.21168000001</v>
      </c>
      <c r="E125" s="40">
        <v>352794.38755807973</v>
      </c>
      <c r="F125" s="40">
        <v>68902.130160000001</v>
      </c>
      <c r="G125" s="40">
        <v>62410.723203800357</v>
      </c>
      <c r="H125" s="41">
        <v>8.5596742886446808E-3</v>
      </c>
      <c r="I125" s="41">
        <v>-9.4211992301627356E-2</v>
      </c>
      <c r="J125" s="41">
        <v>-8.3525472123018307E-3</v>
      </c>
    </row>
    <row r="126" spans="1:10" ht="11.25" customHeight="1" x14ac:dyDescent="0.2">
      <c r="A126" s="50">
        <v>44743</v>
      </c>
      <c r="B126" s="40">
        <v>0</v>
      </c>
      <c r="C126" s="40">
        <v>0</v>
      </c>
      <c r="D126" s="40">
        <v>358633.40885999997</v>
      </c>
      <c r="E126" s="40">
        <v>361703.19402886787</v>
      </c>
      <c r="F126" s="40">
        <v>70642.055070000017</v>
      </c>
      <c r="G126" s="40">
        <v>63986.726321574031</v>
      </c>
      <c r="H126" s="41">
        <v>8.5596742886446808E-3</v>
      </c>
      <c r="I126" s="41">
        <v>-9.4211992301627467E-2</v>
      </c>
      <c r="J126" s="41">
        <v>-8.3525472123018307E-3</v>
      </c>
    </row>
    <row r="127" spans="1:10" ht="11.25" customHeight="1" x14ac:dyDescent="0.2">
      <c r="A127" s="50">
        <v>44774</v>
      </c>
      <c r="B127" s="40">
        <v>0</v>
      </c>
      <c r="C127" s="40">
        <v>0</v>
      </c>
      <c r="D127" s="40">
        <v>358633.40885999997</v>
      </c>
      <c r="E127" s="40">
        <v>361703.19402886787</v>
      </c>
      <c r="F127" s="40">
        <v>70642.055070000017</v>
      </c>
      <c r="G127" s="40">
        <v>63986.726321574031</v>
      </c>
      <c r="H127" s="41">
        <v>8.5596742886446808E-3</v>
      </c>
      <c r="I127" s="41">
        <v>-9.4211992301627467E-2</v>
      </c>
      <c r="J127" s="41">
        <v>-8.3525472123018307E-3</v>
      </c>
    </row>
    <row r="128" spans="1:10" ht="11.25" customHeight="1" x14ac:dyDescent="0.2">
      <c r="A128" s="46" t="s">
        <v>29</v>
      </c>
      <c r="B128" s="40">
        <v>0</v>
      </c>
      <c r="C128" s="40">
        <v>0</v>
      </c>
      <c r="D128" s="40">
        <v>10849.778999999999</v>
      </c>
      <c r="E128" s="40">
        <v>10152.016574561214</v>
      </c>
      <c r="F128" s="40">
        <v>2385.8718000000003</v>
      </c>
      <c r="G128" s="40">
        <v>2161.0683309084311</v>
      </c>
      <c r="H128" s="41">
        <v>-6.4311210895520055E-2</v>
      </c>
      <c r="I128" s="41">
        <v>-9.422277806023327E-2</v>
      </c>
      <c r="J128" s="41">
        <v>-6.9703100245766092E-2</v>
      </c>
    </row>
    <row r="129" spans="1:10" ht="11.25" customHeight="1" x14ac:dyDescent="0.2">
      <c r="A129" s="47" t="s">
        <v>25</v>
      </c>
      <c r="B129" s="40">
        <v>0</v>
      </c>
      <c r="C129" s="40">
        <v>0</v>
      </c>
      <c r="D129" s="40">
        <v>10849.778999999999</v>
      </c>
      <c r="E129" s="40">
        <v>10152.016574561214</v>
      </c>
      <c r="F129" s="40">
        <v>2385.8718000000003</v>
      </c>
      <c r="G129" s="40">
        <v>2161.0683309084311</v>
      </c>
      <c r="H129" s="41">
        <v>-6.4311210895520055E-2</v>
      </c>
      <c r="I129" s="41">
        <v>-9.422277806023327E-2</v>
      </c>
      <c r="J129" s="41">
        <v>-6.9703100245766092E-2</v>
      </c>
    </row>
    <row r="130" spans="1:10" ht="11.25" customHeight="1" x14ac:dyDescent="0.2">
      <c r="A130" s="48" t="s">
        <v>25</v>
      </c>
      <c r="B130" s="40">
        <v>0</v>
      </c>
      <c r="C130" s="40">
        <v>0</v>
      </c>
      <c r="D130" s="40">
        <v>10849.778999999999</v>
      </c>
      <c r="E130" s="40">
        <v>10152.016574561214</v>
      </c>
      <c r="F130" s="40">
        <v>2385.8718000000003</v>
      </c>
      <c r="G130" s="40">
        <v>2161.0683309084311</v>
      </c>
      <c r="H130" s="41">
        <v>-6.4311210895520055E-2</v>
      </c>
      <c r="I130" s="41">
        <v>-9.422277806023327E-2</v>
      </c>
      <c r="J130" s="41">
        <v>-6.9703100245766092E-2</v>
      </c>
    </row>
    <row r="131" spans="1:10" ht="11.25" customHeight="1" x14ac:dyDescent="0.2">
      <c r="A131" s="49" t="s">
        <v>25</v>
      </c>
      <c r="B131" s="40">
        <v>0</v>
      </c>
      <c r="C131" s="40">
        <v>0</v>
      </c>
      <c r="D131" s="40">
        <v>10849.778999999999</v>
      </c>
      <c r="E131" s="40">
        <v>10152.016574561214</v>
      </c>
      <c r="F131" s="40">
        <v>2385.8718000000003</v>
      </c>
      <c r="G131" s="40">
        <v>2161.0683309084311</v>
      </c>
      <c r="H131" s="41">
        <v>-6.4311210895520055E-2</v>
      </c>
      <c r="I131" s="41">
        <v>-9.422277806023327E-2</v>
      </c>
      <c r="J131" s="41">
        <v>-6.9703100245766092E-2</v>
      </c>
    </row>
    <row r="132" spans="1:10" ht="11.25" customHeight="1" x14ac:dyDescent="0.2">
      <c r="A132" s="50">
        <v>44440</v>
      </c>
      <c r="B132" s="40">
        <v>0</v>
      </c>
      <c r="C132" s="40">
        <v>0</v>
      </c>
      <c r="D132" s="40">
        <v>750.43349999999998</v>
      </c>
      <c r="E132" s="40">
        <v>702.17221291843668</v>
      </c>
      <c r="F132" s="40">
        <v>165.02070000000001</v>
      </c>
      <c r="G132" s="40">
        <v>149.47199120855572</v>
      </c>
      <c r="H132" s="41">
        <v>-6.4311210895520166E-2</v>
      </c>
      <c r="I132" s="41">
        <v>-9.4222778060232937E-2</v>
      </c>
      <c r="J132" s="41">
        <v>-6.9703100245766092E-2</v>
      </c>
    </row>
    <row r="133" spans="1:10" ht="11.25" customHeight="1" x14ac:dyDescent="0.2">
      <c r="A133" s="50">
        <v>44470</v>
      </c>
      <c r="B133" s="40">
        <v>0</v>
      </c>
      <c r="C133" s="40">
        <v>0</v>
      </c>
      <c r="D133" s="40">
        <v>773.34749999999997</v>
      </c>
      <c r="E133" s="40">
        <v>723.61258583197662</v>
      </c>
      <c r="F133" s="40">
        <v>170.05950000000001</v>
      </c>
      <c r="G133" s="40">
        <v>154.0360214744658</v>
      </c>
      <c r="H133" s="41">
        <v>-6.4311210895520277E-2</v>
      </c>
      <c r="I133" s="41">
        <v>-9.4222778060233159E-2</v>
      </c>
      <c r="J133" s="41">
        <v>-6.9703100245766203E-2</v>
      </c>
    </row>
    <row r="134" spans="1:10" ht="11.25" customHeight="1" x14ac:dyDescent="0.2">
      <c r="A134" s="50">
        <v>44501</v>
      </c>
      <c r="B134" s="40">
        <v>0</v>
      </c>
      <c r="C134" s="40">
        <v>0</v>
      </c>
      <c r="D134" s="40">
        <v>779.07600000000002</v>
      </c>
      <c r="E134" s="40">
        <v>728.97267906036166</v>
      </c>
      <c r="F134" s="40">
        <v>171.31920000000002</v>
      </c>
      <c r="G134" s="40">
        <v>155.17702904094332</v>
      </c>
      <c r="H134" s="41">
        <v>-6.4311210895520277E-2</v>
      </c>
      <c r="I134" s="41">
        <v>-9.4222778060233159E-2</v>
      </c>
      <c r="J134" s="41">
        <v>-6.9703100245766203E-2</v>
      </c>
    </row>
    <row r="135" spans="1:10" ht="11.25" customHeight="1" x14ac:dyDescent="0.2">
      <c r="A135" s="50">
        <v>44531</v>
      </c>
      <c r="B135" s="40">
        <v>0</v>
      </c>
      <c r="C135" s="40">
        <v>0</v>
      </c>
      <c r="D135" s="40">
        <v>796.26149999999996</v>
      </c>
      <c r="E135" s="40">
        <v>745.05295874551678</v>
      </c>
      <c r="F135" s="40">
        <v>175.09829999999999</v>
      </c>
      <c r="G135" s="40">
        <v>158.6000517403759</v>
      </c>
      <c r="H135" s="41">
        <v>-6.4311210895520055E-2</v>
      </c>
      <c r="I135" s="41">
        <v>-9.4222778060232937E-2</v>
      </c>
      <c r="J135" s="41">
        <v>-6.9703100245766092E-2</v>
      </c>
    </row>
    <row r="136" spans="1:10" ht="11.25" customHeight="1" x14ac:dyDescent="0.2">
      <c r="A136" s="50">
        <v>44562</v>
      </c>
      <c r="B136" s="40">
        <v>0</v>
      </c>
      <c r="C136" s="40">
        <v>0</v>
      </c>
      <c r="D136" s="40">
        <v>807.71850000000006</v>
      </c>
      <c r="E136" s="40">
        <v>755.77314520228686</v>
      </c>
      <c r="F136" s="40">
        <v>177.61770000000001</v>
      </c>
      <c r="G136" s="40">
        <v>160.88206687333096</v>
      </c>
      <c r="H136" s="41">
        <v>-6.4311210895520166E-2</v>
      </c>
      <c r="I136" s="41">
        <v>-9.4222778060233048E-2</v>
      </c>
      <c r="J136" s="41">
        <v>-6.9703100245766203E-2</v>
      </c>
    </row>
    <row r="137" spans="1:10" ht="11.25" customHeight="1" x14ac:dyDescent="0.2">
      <c r="A137" s="50">
        <v>44593</v>
      </c>
      <c r="B137" s="40">
        <v>0</v>
      </c>
      <c r="C137" s="40">
        <v>0</v>
      </c>
      <c r="D137" s="40">
        <v>842.08949999999993</v>
      </c>
      <c r="E137" s="40">
        <v>787.93370457259687</v>
      </c>
      <c r="F137" s="40">
        <v>185.17590000000001</v>
      </c>
      <c r="G137" s="40">
        <v>167.72811227219611</v>
      </c>
      <c r="H137" s="41">
        <v>-6.4311210895520055E-2</v>
      </c>
      <c r="I137" s="41">
        <v>-9.4222778060232937E-2</v>
      </c>
      <c r="J137" s="41">
        <v>-6.9703100245766092E-2</v>
      </c>
    </row>
    <row r="138" spans="1:10" ht="11.25" customHeight="1" x14ac:dyDescent="0.2">
      <c r="A138" s="50">
        <v>44621</v>
      </c>
      <c r="B138" s="40">
        <v>0</v>
      </c>
      <c r="C138" s="40">
        <v>0</v>
      </c>
      <c r="D138" s="40">
        <v>870.73200000000008</v>
      </c>
      <c r="E138" s="40">
        <v>814.73417071452195</v>
      </c>
      <c r="F138" s="40">
        <v>191.47440000000003</v>
      </c>
      <c r="G138" s="40">
        <v>173.43315010458375</v>
      </c>
      <c r="H138" s="41">
        <v>-6.4311210895520277E-2</v>
      </c>
      <c r="I138" s="41">
        <v>-9.4222778060233048E-2</v>
      </c>
      <c r="J138" s="41">
        <v>-6.9703100245766092E-2</v>
      </c>
    </row>
    <row r="139" spans="1:10" ht="11.25" customHeight="1" x14ac:dyDescent="0.2">
      <c r="A139" s="50">
        <v>44652</v>
      </c>
      <c r="B139" s="40">
        <v>0</v>
      </c>
      <c r="C139" s="40">
        <v>0</v>
      </c>
      <c r="D139" s="40">
        <v>991.03049999999996</v>
      </c>
      <c r="E139" s="40">
        <v>927.29612851060722</v>
      </c>
      <c r="F139" s="40">
        <v>217.92810000000003</v>
      </c>
      <c r="G139" s="40">
        <v>197.39430900061174</v>
      </c>
      <c r="H139" s="41">
        <v>-6.4311210895520166E-2</v>
      </c>
      <c r="I139" s="41">
        <v>-9.4222778060233048E-2</v>
      </c>
      <c r="J139" s="41">
        <v>-6.9703100245765981E-2</v>
      </c>
    </row>
    <row r="140" spans="1:10" ht="11.25" customHeight="1" x14ac:dyDescent="0.2">
      <c r="A140" s="50">
        <v>44682</v>
      </c>
      <c r="B140" s="40">
        <v>0</v>
      </c>
      <c r="C140" s="40">
        <v>0</v>
      </c>
      <c r="D140" s="40">
        <v>1065.501</v>
      </c>
      <c r="E140" s="40">
        <v>996.97734047961228</v>
      </c>
      <c r="F140" s="40">
        <v>234.30420000000001</v>
      </c>
      <c r="G140" s="40">
        <v>212.22740736481956</v>
      </c>
      <c r="H140" s="41">
        <v>-6.4311210895520277E-2</v>
      </c>
      <c r="I140" s="41">
        <v>-9.4222778060233048E-2</v>
      </c>
      <c r="J140" s="41">
        <v>-6.9703100245766092E-2</v>
      </c>
    </row>
    <row r="141" spans="1:10" ht="11.25" customHeight="1" x14ac:dyDescent="0.2">
      <c r="A141" s="50">
        <v>44713</v>
      </c>
      <c r="B141" s="40">
        <v>0</v>
      </c>
      <c r="C141" s="40">
        <v>0</v>
      </c>
      <c r="D141" s="40">
        <v>1065.501</v>
      </c>
      <c r="E141" s="40">
        <v>996.97734047961228</v>
      </c>
      <c r="F141" s="40">
        <v>234.30420000000001</v>
      </c>
      <c r="G141" s="40">
        <v>212.22740736481956</v>
      </c>
      <c r="H141" s="41">
        <v>-6.4311210895520277E-2</v>
      </c>
      <c r="I141" s="41">
        <v>-9.4222778060233048E-2</v>
      </c>
      <c r="J141" s="41">
        <v>-6.9703100245766092E-2</v>
      </c>
    </row>
    <row r="142" spans="1:10" ht="11.25" customHeight="1" x14ac:dyDescent="0.2">
      <c r="A142" s="50">
        <v>44743</v>
      </c>
      <c r="B142" s="40">
        <v>0</v>
      </c>
      <c r="C142" s="40">
        <v>0</v>
      </c>
      <c r="D142" s="40">
        <v>1054.0439999999999</v>
      </c>
      <c r="E142" s="40">
        <v>986.2571540228422</v>
      </c>
      <c r="F142" s="40">
        <v>231.78479999999999</v>
      </c>
      <c r="G142" s="40">
        <v>209.94539223186447</v>
      </c>
      <c r="H142" s="41">
        <v>-6.4311210895520166E-2</v>
      </c>
      <c r="I142" s="41">
        <v>-9.4222778060233048E-2</v>
      </c>
      <c r="J142" s="41">
        <v>-6.9703100245766092E-2</v>
      </c>
    </row>
    <row r="143" spans="1:10" ht="11.25" customHeight="1" x14ac:dyDescent="0.2">
      <c r="A143" s="50">
        <v>44774</v>
      </c>
      <c r="B143" s="40">
        <v>0</v>
      </c>
      <c r="C143" s="40">
        <v>0</v>
      </c>
      <c r="D143" s="40">
        <v>1054.0439999999999</v>
      </c>
      <c r="E143" s="40">
        <v>986.2571540228422</v>
      </c>
      <c r="F143" s="40">
        <v>231.78479999999999</v>
      </c>
      <c r="G143" s="40">
        <v>209.94539223186447</v>
      </c>
      <c r="H143" s="41">
        <v>-6.4311210895520166E-2</v>
      </c>
      <c r="I143" s="41">
        <v>-9.4222778060233048E-2</v>
      </c>
      <c r="J143" s="41">
        <v>-6.9703100245766092E-2</v>
      </c>
    </row>
    <row r="144" spans="1:10" ht="11.25" customHeight="1" x14ac:dyDescent="0.2">
      <c r="A144" s="46" t="s">
        <v>30</v>
      </c>
      <c r="B144" s="40">
        <v>0</v>
      </c>
      <c r="C144" s="40">
        <v>0</v>
      </c>
      <c r="D144" s="40">
        <v>37500.070399999997</v>
      </c>
      <c r="E144" s="40">
        <v>35088.701728216402</v>
      </c>
      <c r="F144" s="40">
        <v>8246.0288</v>
      </c>
      <c r="G144" s="40">
        <v>7469.3615323237264</v>
      </c>
      <c r="H144" s="41">
        <v>-6.4303043862648179E-2</v>
      </c>
      <c r="I144" s="41">
        <v>-9.4186824532588753E-2</v>
      </c>
      <c r="J144" s="41">
        <v>-6.9689787658657298E-2</v>
      </c>
    </row>
    <row r="145" spans="1:10" ht="11.25" customHeight="1" x14ac:dyDescent="0.2">
      <c r="A145" s="47" t="s">
        <v>25</v>
      </c>
      <c r="B145" s="40">
        <v>0</v>
      </c>
      <c r="C145" s="40">
        <v>0</v>
      </c>
      <c r="D145" s="40">
        <v>37500.070399999997</v>
      </c>
      <c r="E145" s="40">
        <v>35088.701728216402</v>
      </c>
      <c r="F145" s="40">
        <v>8246.0288</v>
      </c>
      <c r="G145" s="40">
        <v>7469.3615323237264</v>
      </c>
      <c r="H145" s="41">
        <v>-6.4303043862648179E-2</v>
      </c>
      <c r="I145" s="41">
        <v>-9.4186824532588753E-2</v>
      </c>
      <c r="J145" s="41">
        <v>-6.9689787658657298E-2</v>
      </c>
    </row>
    <row r="146" spans="1:10" ht="11.25" customHeight="1" x14ac:dyDescent="0.2">
      <c r="A146" s="48" t="s">
        <v>25</v>
      </c>
      <c r="B146" s="40">
        <v>0</v>
      </c>
      <c r="C146" s="40">
        <v>0</v>
      </c>
      <c r="D146" s="40">
        <v>37500.070399999997</v>
      </c>
      <c r="E146" s="40">
        <v>35088.701728216402</v>
      </c>
      <c r="F146" s="40">
        <v>8246.0288</v>
      </c>
      <c r="G146" s="40">
        <v>7469.3615323237264</v>
      </c>
      <c r="H146" s="41">
        <v>-6.4303043862648179E-2</v>
      </c>
      <c r="I146" s="41">
        <v>-9.4186824532588753E-2</v>
      </c>
      <c r="J146" s="41">
        <v>-6.9689787658657298E-2</v>
      </c>
    </row>
    <row r="147" spans="1:10" ht="11.25" customHeight="1" x14ac:dyDescent="0.2">
      <c r="A147" s="49" t="s">
        <v>25</v>
      </c>
      <c r="B147" s="40">
        <v>0</v>
      </c>
      <c r="C147" s="40">
        <v>0</v>
      </c>
      <c r="D147" s="40">
        <v>37500.070399999997</v>
      </c>
      <c r="E147" s="40">
        <v>35088.701728216402</v>
      </c>
      <c r="F147" s="40">
        <v>8246.0288</v>
      </c>
      <c r="G147" s="40">
        <v>7469.3615323237264</v>
      </c>
      <c r="H147" s="41">
        <v>-6.4303043862648179E-2</v>
      </c>
      <c r="I147" s="41">
        <v>-9.4186824532588753E-2</v>
      </c>
      <c r="J147" s="41">
        <v>-6.9689787658657298E-2</v>
      </c>
    </row>
    <row r="148" spans="1:10" ht="11.25" customHeight="1" x14ac:dyDescent="0.2">
      <c r="A148" s="50">
        <v>44440</v>
      </c>
      <c r="B148" s="40">
        <v>0</v>
      </c>
      <c r="C148" s="40">
        <v>0</v>
      </c>
      <c r="D148" s="40">
        <v>2429.1901399999997</v>
      </c>
      <c r="E148" s="40">
        <v>2272.9858198768675</v>
      </c>
      <c r="F148" s="40">
        <v>534.16358000000002</v>
      </c>
      <c r="G148" s="40">
        <v>483.85240861884051</v>
      </c>
      <c r="H148" s="41">
        <v>-6.4303043862648068E-2</v>
      </c>
      <c r="I148" s="41">
        <v>-9.4186824532588864E-2</v>
      </c>
      <c r="J148" s="41">
        <v>-6.9689787658657187E-2</v>
      </c>
    </row>
    <row r="149" spans="1:10" ht="11.25" customHeight="1" x14ac:dyDescent="0.2">
      <c r="A149" s="50">
        <v>44470</v>
      </c>
      <c r="B149" s="40">
        <v>0</v>
      </c>
      <c r="C149" s="40">
        <v>0</v>
      </c>
      <c r="D149" s="40">
        <v>2621.3387199999993</v>
      </c>
      <c r="E149" s="40">
        <v>2452.7786613089816</v>
      </c>
      <c r="F149" s="40">
        <v>576.41584</v>
      </c>
      <c r="G149" s="40">
        <v>522.12506242011511</v>
      </c>
      <c r="H149" s="41">
        <v>-6.4303043862648068E-2</v>
      </c>
      <c r="I149" s="41">
        <v>-9.4186824532588975E-2</v>
      </c>
      <c r="J149" s="41">
        <v>-6.9689787658657187E-2</v>
      </c>
    </row>
    <row r="150" spans="1:10" ht="11.25" customHeight="1" x14ac:dyDescent="0.2">
      <c r="A150" s="50">
        <v>44501</v>
      </c>
      <c r="B150" s="40">
        <v>0</v>
      </c>
      <c r="C150" s="40">
        <v>0</v>
      </c>
      <c r="D150" s="40">
        <v>2634.4323199999999</v>
      </c>
      <c r="E150" s="40">
        <v>2465.0303029738616</v>
      </c>
      <c r="F150" s="40">
        <v>579.29504000000009</v>
      </c>
      <c r="G150" s="40">
        <v>524.73307971492102</v>
      </c>
      <c r="H150" s="41">
        <v>-6.430304386264829E-2</v>
      </c>
      <c r="I150" s="41">
        <v>-9.4186824532588864E-2</v>
      </c>
      <c r="J150" s="41">
        <v>-6.9689787658657298E-2</v>
      </c>
    </row>
    <row r="151" spans="1:10" ht="11.25" customHeight="1" x14ac:dyDescent="0.2">
      <c r="A151" s="50">
        <v>44531</v>
      </c>
      <c r="B151" s="40">
        <v>0</v>
      </c>
      <c r="C151" s="40">
        <v>0</v>
      </c>
      <c r="D151" s="40">
        <v>2774.8611799999999</v>
      </c>
      <c r="E151" s="40">
        <v>2596.4291598297</v>
      </c>
      <c r="F151" s="40">
        <v>610.17446000000007</v>
      </c>
      <c r="G151" s="40">
        <v>552.70406520171287</v>
      </c>
      <c r="H151" s="41">
        <v>-6.430304386264829E-2</v>
      </c>
      <c r="I151" s="41">
        <v>-9.4186824532588864E-2</v>
      </c>
      <c r="J151" s="41">
        <v>-6.9689787658657409E-2</v>
      </c>
    </row>
    <row r="152" spans="1:10" ht="11.25" customHeight="1" x14ac:dyDescent="0.2">
      <c r="A152" s="50">
        <v>44562</v>
      </c>
      <c r="B152" s="40">
        <v>0</v>
      </c>
      <c r="C152" s="40">
        <v>0</v>
      </c>
      <c r="D152" s="40">
        <v>2848.8400199999996</v>
      </c>
      <c r="E152" s="40">
        <v>2665.6509352362718</v>
      </c>
      <c r="F152" s="40">
        <v>626.44194000000005</v>
      </c>
      <c r="G152" s="40">
        <v>567.43936291736543</v>
      </c>
      <c r="H152" s="41">
        <v>-6.430304386264829E-2</v>
      </c>
      <c r="I152" s="41">
        <v>-9.4186824532588975E-2</v>
      </c>
      <c r="J152" s="41">
        <v>-6.9689787658657298E-2</v>
      </c>
    </row>
    <row r="153" spans="1:10" ht="11.25" customHeight="1" x14ac:dyDescent="0.2">
      <c r="A153" s="50">
        <v>44593</v>
      </c>
      <c r="B153" s="40">
        <v>0</v>
      </c>
      <c r="C153" s="40">
        <v>0</v>
      </c>
      <c r="D153" s="40">
        <v>3071.1038799999997</v>
      </c>
      <c r="E153" s="40">
        <v>2873.6225524976107</v>
      </c>
      <c r="F153" s="40">
        <v>675.31636000000003</v>
      </c>
      <c r="G153" s="40">
        <v>611.71045649669338</v>
      </c>
      <c r="H153" s="41">
        <v>-6.4303043862648179E-2</v>
      </c>
      <c r="I153" s="41">
        <v>-9.4186824532588864E-2</v>
      </c>
      <c r="J153" s="41">
        <v>-6.9689787658657076E-2</v>
      </c>
    </row>
    <row r="154" spans="1:10" ht="11.25" customHeight="1" x14ac:dyDescent="0.2">
      <c r="A154" s="50">
        <v>44621</v>
      </c>
      <c r="B154" s="40">
        <v>0</v>
      </c>
      <c r="C154" s="40">
        <v>0</v>
      </c>
      <c r="D154" s="40">
        <v>3099.2551199999994</v>
      </c>
      <c r="E154" s="40">
        <v>2899.9635820771027</v>
      </c>
      <c r="F154" s="40">
        <v>681.50663999999995</v>
      </c>
      <c r="G154" s="40">
        <v>617.31769368052585</v>
      </c>
      <c r="H154" s="41">
        <v>-6.4303043862648068E-2</v>
      </c>
      <c r="I154" s="41">
        <v>-9.4186824532588753E-2</v>
      </c>
      <c r="J154" s="41">
        <v>-6.9689787658657187E-2</v>
      </c>
    </row>
    <row r="155" spans="1:10" ht="11.25" customHeight="1" x14ac:dyDescent="0.2">
      <c r="A155" s="50">
        <v>44652</v>
      </c>
      <c r="B155" s="40">
        <v>0</v>
      </c>
      <c r="C155" s="40">
        <v>0</v>
      </c>
      <c r="D155" s="40">
        <v>3341.4867199999999</v>
      </c>
      <c r="E155" s="40">
        <v>3126.6189528773834</v>
      </c>
      <c r="F155" s="40">
        <v>734.77184</v>
      </c>
      <c r="G155" s="40">
        <v>665.56601363443258</v>
      </c>
      <c r="H155" s="41">
        <v>-6.4303043862648179E-2</v>
      </c>
      <c r="I155" s="41">
        <v>-9.4186824532588753E-2</v>
      </c>
      <c r="J155" s="41">
        <v>-6.9689787658657187E-2</v>
      </c>
    </row>
    <row r="156" spans="1:10" ht="11.25" customHeight="1" x14ac:dyDescent="0.2">
      <c r="A156" s="50">
        <v>44682</v>
      </c>
      <c r="B156" s="40">
        <v>0</v>
      </c>
      <c r="C156" s="40">
        <v>0</v>
      </c>
      <c r="D156" s="40">
        <v>3642.9668599999995</v>
      </c>
      <c r="E156" s="40">
        <v>3408.7130022112456</v>
      </c>
      <c r="F156" s="40">
        <v>801.06542000000002</v>
      </c>
      <c r="G156" s="40">
        <v>725.61561184733534</v>
      </c>
      <c r="H156" s="41">
        <v>-6.430304386264829E-2</v>
      </c>
      <c r="I156" s="41">
        <v>-9.4186824532588975E-2</v>
      </c>
      <c r="J156" s="41">
        <v>-6.9689787658657409E-2</v>
      </c>
    </row>
    <row r="157" spans="1:10" ht="11.25" customHeight="1" x14ac:dyDescent="0.2">
      <c r="A157" s="50">
        <v>44713</v>
      </c>
      <c r="B157" s="40">
        <v>0</v>
      </c>
      <c r="C157" s="40">
        <v>0</v>
      </c>
      <c r="D157" s="40">
        <v>3724.4745199999998</v>
      </c>
      <c r="E157" s="40">
        <v>3484.9794715751241</v>
      </c>
      <c r="F157" s="40">
        <v>818.98844000000008</v>
      </c>
      <c r="G157" s="40">
        <v>741.8505195075013</v>
      </c>
      <c r="H157" s="41">
        <v>-6.4303043862648179E-2</v>
      </c>
      <c r="I157" s="41">
        <v>-9.4186824532588975E-2</v>
      </c>
      <c r="J157" s="41">
        <v>-6.9689787658657298E-2</v>
      </c>
    </row>
    <row r="158" spans="1:10" ht="11.25" customHeight="1" x14ac:dyDescent="0.2">
      <c r="A158" s="50">
        <v>44743</v>
      </c>
      <c r="B158" s="40">
        <v>0</v>
      </c>
      <c r="C158" s="40">
        <v>0</v>
      </c>
      <c r="D158" s="40">
        <v>3656.0604599999997</v>
      </c>
      <c r="E158" s="40">
        <v>3420.964643876126</v>
      </c>
      <c r="F158" s="40">
        <v>803.9446200000001</v>
      </c>
      <c r="G158" s="40">
        <v>728.22362914214125</v>
      </c>
      <c r="H158" s="41">
        <v>-6.4303043862648179E-2</v>
      </c>
      <c r="I158" s="41">
        <v>-9.4186824532588864E-2</v>
      </c>
      <c r="J158" s="41">
        <v>-6.9689787658657298E-2</v>
      </c>
    </row>
    <row r="159" spans="1:10" ht="11.25" customHeight="1" x14ac:dyDescent="0.2">
      <c r="A159" s="50">
        <v>44774</v>
      </c>
      <c r="B159" s="40">
        <v>0</v>
      </c>
      <c r="C159" s="40">
        <v>0</v>
      </c>
      <c r="D159" s="40">
        <v>3656.0604599999997</v>
      </c>
      <c r="E159" s="40">
        <v>3420.964643876126</v>
      </c>
      <c r="F159" s="40">
        <v>803.9446200000001</v>
      </c>
      <c r="G159" s="40">
        <v>728.22362914214125</v>
      </c>
      <c r="H159" s="41">
        <v>-6.4303043862648179E-2</v>
      </c>
      <c r="I159" s="41">
        <v>-9.4186824532588864E-2</v>
      </c>
      <c r="J159" s="41">
        <v>-6.9689787658657298E-2</v>
      </c>
    </row>
    <row r="160" spans="1:10" ht="11.25" customHeight="1" x14ac:dyDescent="0.2">
      <c r="A160" s="46" t="s">
        <v>31</v>
      </c>
      <c r="B160" s="40">
        <v>0</v>
      </c>
      <c r="C160" s="40">
        <v>0</v>
      </c>
      <c r="D160" s="40">
        <v>57069.110279999994</v>
      </c>
      <c r="E160" s="40">
        <v>53399.392778462847</v>
      </c>
      <c r="F160" s="40">
        <v>12550.299440000003</v>
      </c>
      <c r="G160" s="40">
        <v>11367.173780275689</v>
      </c>
      <c r="H160" s="41">
        <v>-6.4303043862648179E-2</v>
      </c>
      <c r="I160" s="41">
        <v>-9.4270711657562956E-2</v>
      </c>
      <c r="J160" s="41">
        <v>-6.9705318973242503E-2</v>
      </c>
    </row>
    <row r="161" spans="1:10" ht="11.25" customHeight="1" x14ac:dyDescent="0.2">
      <c r="A161" s="47" t="s">
        <v>25</v>
      </c>
      <c r="B161" s="40">
        <v>0</v>
      </c>
      <c r="C161" s="40">
        <v>0</v>
      </c>
      <c r="D161" s="40">
        <v>57069.110279999994</v>
      </c>
      <c r="E161" s="40">
        <v>53399.392778462847</v>
      </c>
      <c r="F161" s="40">
        <v>12550.299440000003</v>
      </c>
      <c r="G161" s="40">
        <v>11367.173780275689</v>
      </c>
      <c r="H161" s="41">
        <v>-6.4303043862648179E-2</v>
      </c>
      <c r="I161" s="41">
        <v>-9.4270711657562956E-2</v>
      </c>
      <c r="J161" s="41">
        <v>-6.9705318973242503E-2</v>
      </c>
    </row>
    <row r="162" spans="1:10" ht="11.25" customHeight="1" x14ac:dyDescent="0.2">
      <c r="A162" s="48" t="s">
        <v>25</v>
      </c>
      <c r="B162" s="40">
        <v>0</v>
      </c>
      <c r="C162" s="40">
        <v>0</v>
      </c>
      <c r="D162" s="40">
        <v>57069.110279999994</v>
      </c>
      <c r="E162" s="40">
        <v>53399.392778462847</v>
      </c>
      <c r="F162" s="40">
        <v>12550.299440000003</v>
      </c>
      <c r="G162" s="40">
        <v>11367.173780275689</v>
      </c>
      <c r="H162" s="41">
        <v>-6.4303043862648179E-2</v>
      </c>
      <c r="I162" s="41">
        <v>-9.4270711657562956E-2</v>
      </c>
      <c r="J162" s="41">
        <v>-6.9705318973242503E-2</v>
      </c>
    </row>
    <row r="163" spans="1:10" ht="11.25" customHeight="1" x14ac:dyDescent="0.2">
      <c r="A163" s="49" t="s">
        <v>25</v>
      </c>
      <c r="B163" s="40">
        <v>0</v>
      </c>
      <c r="C163" s="40">
        <v>0</v>
      </c>
      <c r="D163" s="40">
        <v>57069.110279999994</v>
      </c>
      <c r="E163" s="40">
        <v>53399.392778462847</v>
      </c>
      <c r="F163" s="40">
        <v>12550.299440000003</v>
      </c>
      <c r="G163" s="40">
        <v>11367.173780275689</v>
      </c>
      <c r="H163" s="41">
        <v>-6.4303043862648179E-2</v>
      </c>
      <c r="I163" s="41">
        <v>-9.4270711657562956E-2</v>
      </c>
      <c r="J163" s="41">
        <v>-6.9705318973242503E-2</v>
      </c>
    </row>
    <row r="164" spans="1:10" ht="11.25" customHeight="1" x14ac:dyDescent="0.2">
      <c r="A164" s="50">
        <v>44440</v>
      </c>
      <c r="B164" s="40">
        <v>0</v>
      </c>
      <c r="C164" s="40">
        <v>0</v>
      </c>
      <c r="D164" s="40">
        <v>3225.9357</v>
      </c>
      <c r="E164" s="40">
        <v>3018.4982151848171</v>
      </c>
      <c r="F164" s="40">
        <v>709.42860000000007</v>
      </c>
      <c r="G164" s="40">
        <v>642.55026100777172</v>
      </c>
      <c r="H164" s="41">
        <v>-6.430304386264829E-2</v>
      </c>
      <c r="I164" s="41">
        <v>-9.4270711657562622E-2</v>
      </c>
      <c r="J164" s="41">
        <v>-6.9705318973242503E-2</v>
      </c>
    </row>
    <row r="165" spans="1:10" ht="11.25" customHeight="1" x14ac:dyDescent="0.2">
      <c r="A165" s="50">
        <v>44470</v>
      </c>
      <c r="B165" s="40">
        <v>0</v>
      </c>
      <c r="C165" s="40">
        <v>0</v>
      </c>
      <c r="D165" s="40">
        <v>4040.0302799999999</v>
      </c>
      <c r="E165" s="40">
        <v>3780.2440356987327</v>
      </c>
      <c r="F165" s="40">
        <v>888.45943999999997</v>
      </c>
      <c r="G165" s="40">
        <v>804.70373631232042</v>
      </c>
      <c r="H165" s="41">
        <v>-6.430304386264829E-2</v>
      </c>
      <c r="I165" s="41">
        <v>-9.4270711657562622E-2</v>
      </c>
      <c r="J165" s="41">
        <v>-6.9705318973242392E-2</v>
      </c>
    </row>
    <row r="166" spans="1:10" ht="11.25" customHeight="1" x14ac:dyDescent="0.2">
      <c r="A166" s="50">
        <v>44501</v>
      </c>
      <c r="B166" s="40">
        <v>0</v>
      </c>
      <c r="C166" s="40">
        <v>0</v>
      </c>
      <c r="D166" s="40">
        <v>3793.5432599999999</v>
      </c>
      <c r="E166" s="40">
        <v>3549.6068813573665</v>
      </c>
      <c r="F166" s="40">
        <v>834.25348000000008</v>
      </c>
      <c r="G166" s="40">
        <v>755.60781073760177</v>
      </c>
      <c r="H166" s="41">
        <v>-6.4303043862648179E-2</v>
      </c>
      <c r="I166" s="41">
        <v>-9.4270711657562734E-2</v>
      </c>
      <c r="J166" s="41">
        <v>-6.9705318973242503E-2</v>
      </c>
    </row>
    <row r="167" spans="1:10" ht="11.25" customHeight="1" x14ac:dyDescent="0.2">
      <c r="A167" s="50">
        <v>44531</v>
      </c>
      <c r="B167" s="40">
        <v>0</v>
      </c>
      <c r="C167" s="40">
        <v>0</v>
      </c>
      <c r="D167" s="40">
        <v>3914.8227299999999</v>
      </c>
      <c r="E167" s="40">
        <v>3663.0877122783177</v>
      </c>
      <c r="F167" s="40">
        <v>860.92453999999998</v>
      </c>
      <c r="G167" s="40">
        <v>779.76457093074021</v>
      </c>
      <c r="H167" s="41">
        <v>-6.4303043862648179E-2</v>
      </c>
      <c r="I167" s="41">
        <v>-9.4270711657562622E-2</v>
      </c>
      <c r="J167" s="41">
        <v>-6.9705318973242503E-2</v>
      </c>
    </row>
    <row r="168" spans="1:10" ht="11.25" customHeight="1" x14ac:dyDescent="0.2">
      <c r="A168" s="50">
        <v>44562</v>
      </c>
      <c r="B168" s="40">
        <v>0</v>
      </c>
      <c r="C168" s="40">
        <v>0</v>
      </c>
      <c r="D168" s="40">
        <v>4587.0154199999997</v>
      </c>
      <c r="E168" s="40">
        <v>4292.0563662490968</v>
      </c>
      <c r="F168" s="40">
        <v>1008.7491600000001</v>
      </c>
      <c r="G168" s="40">
        <v>913.6536588028315</v>
      </c>
      <c r="H168" s="41">
        <v>-6.4303043862648068E-2</v>
      </c>
      <c r="I168" s="41">
        <v>-9.4270711657562734E-2</v>
      </c>
      <c r="J168" s="41">
        <v>-6.9705318973242503E-2</v>
      </c>
    </row>
    <row r="169" spans="1:10" ht="11.25" customHeight="1" x14ac:dyDescent="0.2">
      <c r="A169" s="50">
        <v>44593</v>
      </c>
      <c r="B169" s="40">
        <v>0</v>
      </c>
      <c r="C169" s="40">
        <v>0</v>
      </c>
      <c r="D169" s="40">
        <v>5438.91777</v>
      </c>
      <c r="E169" s="40">
        <v>5089.1788020703534</v>
      </c>
      <c r="F169" s="40">
        <v>1196.09446</v>
      </c>
      <c r="G169" s="40">
        <v>1083.3377840461319</v>
      </c>
      <c r="H169" s="41">
        <v>-6.4303043862648179E-2</v>
      </c>
      <c r="I169" s="41">
        <v>-9.4270711657562622E-2</v>
      </c>
      <c r="J169" s="41">
        <v>-6.9705318973242503E-2</v>
      </c>
    </row>
    <row r="170" spans="1:10" ht="11.25" customHeight="1" x14ac:dyDescent="0.2">
      <c r="A170" s="50">
        <v>44621</v>
      </c>
      <c r="B170" s="40">
        <v>0</v>
      </c>
      <c r="C170" s="40">
        <v>0</v>
      </c>
      <c r="D170" s="40">
        <v>4841.3585999999996</v>
      </c>
      <c r="E170" s="40">
        <v>4530.0445055893897</v>
      </c>
      <c r="F170" s="40">
        <v>1064.6828</v>
      </c>
      <c r="G170" s="40">
        <v>964.31439475443347</v>
      </c>
      <c r="H170" s="41">
        <v>-6.4303043862648401E-2</v>
      </c>
      <c r="I170" s="41">
        <v>-9.4270711657562734E-2</v>
      </c>
      <c r="J170" s="41">
        <v>-6.9705318973242725E-2</v>
      </c>
    </row>
    <row r="171" spans="1:10" ht="11.25" customHeight="1" x14ac:dyDescent="0.2">
      <c r="A171" s="50">
        <v>44652</v>
      </c>
      <c r="B171" s="40">
        <v>0</v>
      </c>
      <c r="C171" s="40">
        <v>0</v>
      </c>
      <c r="D171" s="40">
        <v>5085.3905699999996</v>
      </c>
      <c r="E171" s="40">
        <v>4758.3844771185923</v>
      </c>
      <c r="F171" s="40">
        <v>1118.3488600000001</v>
      </c>
      <c r="G171" s="40">
        <v>1012.921317086376</v>
      </c>
      <c r="H171" s="41">
        <v>-6.4303043862648179E-2</v>
      </c>
      <c r="I171" s="41">
        <v>-9.4270711657562734E-2</v>
      </c>
      <c r="J171" s="41">
        <v>-6.9705318973242503E-2</v>
      </c>
    </row>
    <row r="172" spans="1:10" ht="11.25" customHeight="1" x14ac:dyDescent="0.2">
      <c r="A172" s="50">
        <v>44682</v>
      </c>
      <c r="B172" s="40">
        <v>0</v>
      </c>
      <c r="C172" s="40">
        <v>0</v>
      </c>
      <c r="D172" s="40">
        <v>5376.5594999999994</v>
      </c>
      <c r="E172" s="40">
        <v>5030.8303586413613</v>
      </c>
      <c r="F172" s="40">
        <v>1182.3809999999999</v>
      </c>
      <c r="G172" s="40">
        <v>1070.9171016796192</v>
      </c>
      <c r="H172" s="41">
        <v>-6.430304386264829E-2</v>
      </c>
      <c r="I172" s="41">
        <v>-9.4270711657562734E-2</v>
      </c>
      <c r="J172" s="41">
        <v>-6.9705318973242503E-2</v>
      </c>
    </row>
    <row r="173" spans="1:10" ht="11.25" customHeight="1" x14ac:dyDescent="0.2">
      <c r="A173" s="50">
        <v>44713</v>
      </c>
      <c r="B173" s="40">
        <v>0</v>
      </c>
      <c r="C173" s="40">
        <v>0</v>
      </c>
      <c r="D173" s="40">
        <v>6131.2418699999998</v>
      </c>
      <c r="E173" s="40">
        <v>5736.9843551008844</v>
      </c>
      <c r="F173" s="40">
        <v>1348.34626</v>
      </c>
      <c r="G173" s="40">
        <v>1221.236698508987</v>
      </c>
      <c r="H173" s="41">
        <v>-6.430304386264829E-2</v>
      </c>
      <c r="I173" s="41">
        <v>-9.4270711657562622E-2</v>
      </c>
      <c r="J173" s="41">
        <v>-6.9705318973242503E-2</v>
      </c>
    </row>
    <row r="174" spans="1:10" ht="11.25" customHeight="1" x14ac:dyDescent="0.2">
      <c r="A174" s="50">
        <v>44743</v>
      </c>
      <c r="B174" s="40">
        <v>0</v>
      </c>
      <c r="C174" s="40">
        <v>0</v>
      </c>
      <c r="D174" s="40">
        <v>5317.1472899999999</v>
      </c>
      <c r="E174" s="40">
        <v>4975.2385345869689</v>
      </c>
      <c r="F174" s="40">
        <v>1169.3154200000001</v>
      </c>
      <c r="G174" s="40">
        <v>1059.0832232044384</v>
      </c>
      <c r="H174" s="41">
        <v>-6.4303043862648179E-2</v>
      </c>
      <c r="I174" s="41">
        <v>-9.4270711657562622E-2</v>
      </c>
      <c r="J174" s="41">
        <v>-6.9705318973242392E-2</v>
      </c>
    </row>
    <row r="175" spans="1:10" ht="11.25" customHeight="1" x14ac:dyDescent="0.2">
      <c r="A175" s="50">
        <v>44774</v>
      </c>
      <c r="B175" s="40">
        <v>0</v>
      </c>
      <c r="C175" s="40">
        <v>0</v>
      </c>
      <c r="D175" s="40">
        <v>5317.1472899999999</v>
      </c>
      <c r="E175" s="40">
        <v>4975.2385345869689</v>
      </c>
      <c r="F175" s="40">
        <v>1169.3154200000001</v>
      </c>
      <c r="G175" s="40">
        <v>1059.0832232044384</v>
      </c>
      <c r="H175" s="41">
        <v>-6.4303043862648179E-2</v>
      </c>
      <c r="I175" s="41">
        <v>-9.4270711657562622E-2</v>
      </c>
      <c r="J175" s="41">
        <v>-6.9705318973242392E-2</v>
      </c>
    </row>
    <row r="176" spans="1:10" ht="11.25" customHeight="1" x14ac:dyDescent="0.2">
      <c r="A176" s="46" t="s">
        <v>32</v>
      </c>
      <c r="B176" s="40">
        <v>0</v>
      </c>
      <c r="C176" s="40">
        <v>0</v>
      </c>
      <c r="D176" s="40">
        <v>24720.414720000001</v>
      </c>
      <c r="E176" s="40">
        <v>23131.099463293496</v>
      </c>
      <c r="F176" s="40">
        <v>5436.080640000001</v>
      </c>
      <c r="G176" s="40">
        <v>4923.9366525932946</v>
      </c>
      <c r="H176" s="41">
        <v>-6.4291609777107461E-2</v>
      </c>
      <c r="I176" s="41">
        <v>-9.4211992301627467E-2</v>
      </c>
      <c r="J176" s="41">
        <v>-6.9685128163155752E-2</v>
      </c>
    </row>
    <row r="177" spans="1:10" ht="11.25" customHeight="1" x14ac:dyDescent="0.2">
      <c r="A177" s="47" t="s">
        <v>25</v>
      </c>
      <c r="B177" s="40">
        <v>0</v>
      </c>
      <c r="C177" s="40">
        <v>0</v>
      </c>
      <c r="D177" s="40">
        <v>24720.414720000001</v>
      </c>
      <c r="E177" s="40">
        <v>23131.099463293496</v>
      </c>
      <c r="F177" s="40">
        <v>5436.080640000001</v>
      </c>
      <c r="G177" s="40">
        <v>4923.9366525932946</v>
      </c>
      <c r="H177" s="41">
        <v>-6.4291609777107461E-2</v>
      </c>
      <c r="I177" s="41">
        <v>-9.4211992301627467E-2</v>
      </c>
      <c r="J177" s="41">
        <v>-6.9685128163155752E-2</v>
      </c>
    </row>
    <row r="178" spans="1:10" ht="11.25" customHeight="1" x14ac:dyDescent="0.2">
      <c r="A178" s="48" t="s">
        <v>25</v>
      </c>
      <c r="B178" s="40">
        <v>0</v>
      </c>
      <c r="C178" s="40">
        <v>0</v>
      </c>
      <c r="D178" s="40">
        <v>24720.414720000001</v>
      </c>
      <c r="E178" s="40">
        <v>23131.099463293496</v>
      </c>
      <c r="F178" s="40">
        <v>5436.080640000001</v>
      </c>
      <c r="G178" s="40">
        <v>4923.9366525932946</v>
      </c>
      <c r="H178" s="41">
        <v>-6.4291609777107461E-2</v>
      </c>
      <c r="I178" s="41">
        <v>-9.4211992301627467E-2</v>
      </c>
      <c r="J178" s="41">
        <v>-6.9685128163155752E-2</v>
      </c>
    </row>
    <row r="179" spans="1:10" ht="11.25" customHeight="1" x14ac:dyDescent="0.2">
      <c r="A179" s="49" t="s">
        <v>25</v>
      </c>
      <c r="B179" s="40">
        <v>0</v>
      </c>
      <c r="C179" s="40">
        <v>0</v>
      </c>
      <c r="D179" s="40">
        <v>24720.414720000001</v>
      </c>
      <c r="E179" s="40">
        <v>23131.099463293496</v>
      </c>
      <c r="F179" s="40">
        <v>5436.080640000001</v>
      </c>
      <c r="G179" s="40">
        <v>4923.9366525932946</v>
      </c>
      <c r="H179" s="41">
        <v>-6.4291609777107461E-2</v>
      </c>
      <c r="I179" s="41">
        <v>-9.4211992301627467E-2</v>
      </c>
      <c r="J179" s="41">
        <v>-6.9685128163155752E-2</v>
      </c>
    </row>
    <row r="180" spans="1:10" ht="11.25" customHeight="1" x14ac:dyDescent="0.2">
      <c r="A180" s="50">
        <v>44440</v>
      </c>
      <c r="B180" s="40">
        <v>0</v>
      </c>
      <c r="C180" s="40">
        <v>0</v>
      </c>
      <c r="D180" s="40">
        <v>883.80719999999997</v>
      </c>
      <c r="E180" s="40">
        <v>826.98581237940198</v>
      </c>
      <c r="F180" s="40">
        <v>194.35140000000001</v>
      </c>
      <c r="G180" s="40">
        <v>176.04116739938951</v>
      </c>
      <c r="H180" s="41">
        <v>-6.4291609777107461E-2</v>
      </c>
      <c r="I180" s="41">
        <v>-9.4211992301627356E-2</v>
      </c>
      <c r="J180" s="41">
        <v>-6.9685128163155752E-2</v>
      </c>
    </row>
    <row r="181" spans="1:10" ht="11.25" customHeight="1" x14ac:dyDescent="0.2">
      <c r="A181" s="50">
        <v>44470</v>
      </c>
      <c r="B181" s="40">
        <v>0</v>
      </c>
      <c r="C181" s="40">
        <v>0</v>
      </c>
      <c r="D181" s="40">
        <v>1599.0363599999998</v>
      </c>
      <c r="E181" s="40">
        <v>1496.2317383234736</v>
      </c>
      <c r="F181" s="40">
        <v>351.63207</v>
      </c>
      <c r="G181" s="40">
        <v>318.5041121281547</v>
      </c>
      <c r="H181" s="41">
        <v>-6.4291609777107461E-2</v>
      </c>
      <c r="I181" s="41">
        <v>-9.4211992301627356E-2</v>
      </c>
      <c r="J181" s="41">
        <v>-6.968512816315553E-2</v>
      </c>
    </row>
    <row r="182" spans="1:10" ht="11.25" customHeight="1" x14ac:dyDescent="0.2">
      <c r="A182" s="50">
        <v>44501</v>
      </c>
      <c r="B182" s="40">
        <v>0</v>
      </c>
      <c r="C182" s="40">
        <v>0</v>
      </c>
      <c r="D182" s="40">
        <v>1206.2331599999998</v>
      </c>
      <c r="E182" s="40">
        <v>1128.6824883770726</v>
      </c>
      <c r="F182" s="40">
        <v>265.25367</v>
      </c>
      <c r="G182" s="40">
        <v>240.26359328398158</v>
      </c>
      <c r="H182" s="41">
        <v>-6.4291609777107461E-2</v>
      </c>
      <c r="I182" s="41">
        <v>-9.4211992301627467E-2</v>
      </c>
      <c r="J182" s="41">
        <v>-6.9685128163155641E-2</v>
      </c>
    </row>
    <row r="183" spans="1:10" ht="11.25" customHeight="1" x14ac:dyDescent="0.2">
      <c r="A183" s="50">
        <v>44531</v>
      </c>
      <c r="B183" s="40">
        <v>0</v>
      </c>
      <c r="C183" s="40">
        <v>0</v>
      </c>
      <c r="D183" s="40">
        <v>1253.1513199999999</v>
      </c>
      <c r="E183" s="40">
        <v>1172.5842043428929</v>
      </c>
      <c r="F183" s="40">
        <v>275.57109000000003</v>
      </c>
      <c r="G183" s="40">
        <v>249.60898859036894</v>
      </c>
      <c r="H183" s="41">
        <v>-6.429160977710735E-2</v>
      </c>
      <c r="I183" s="41">
        <v>-9.4211992301627467E-2</v>
      </c>
      <c r="J183" s="41">
        <v>-6.968512816315553E-2</v>
      </c>
    </row>
    <row r="184" spans="1:10" ht="11.25" customHeight="1" x14ac:dyDescent="0.2">
      <c r="A184" s="50">
        <v>44562</v>
      </c>
      <c r="B184" s="40">
        <v>0</v>
      </c>
      <c r="C184" s="40">
        <v>0</v>
      </c>
      <c r="D184" s="40">
        <v>2346.9991199999995</v>
      </c>
      <c r="E184" s="40">
        <v>2196.106768429745</v>
      </c>
      <c r="F184" s="40">
        <v>516.11093999999991</v>
      </c>
      <c r="G184" s="40">
        <v>467.48710009393426</v>
      </c>
      <c r="H184" s="41">
        <v>-6.4291609777107461E-2</v>
      </c>
      <c r="I184" s="41">
        <v>-9.4211992301627356E-2</v>
      </c>
      <c r="J184" s="41">
        <v>-6.9685128163155641E-2</v>
      </c>
    </row>
    <row r="185" spans="1:10" ht="11.25" customHeight="1" x14ac:dyDescent="0.2">
      <c r="A185" s="50">
        <v>44593</v>
      </c>
      <c r="B185" s="40">
        <v>0</v>
      </c>
      <c r="C185" s="40">
        <v>0</v>
      </c>
      <c r="D185" s="40">
        <v>4057.8752799999993</v>
      </c>
      <c r="E185" s="40">
        <v>3796.9879459740687</v>
      </c>
      <c r="F185" s="40">
        <v>892.33686</v>
      </c>
      <c r="G185" s="40">
        <v>808.26802661522163</v>
      </c>
      <c r="H185" s="41">
        <v>-6.4291609777107461E-2</v>
      </c>
      <c r="I185" s="41">
        <v>-9.4211992301627356E-2</v>
      </c>
      <c r="J185" s="41">
        <v>-6.9685128163155641E-2</v>
      </c>
    </row>
    <row r="186" spans="1:10" ht="11.25" customHeight="1" x14ac:dyDescent="0.2">
      <c r="A186" s="50">
        <v>44621</v>
      </c>
      <c r="B186" s="40">
        <v>0</v>
      </c>
      <c r="C186" s="40">
        <v>0</v>
      </c>
      <c r="D186" s="40">
        <v>3007.1267199999993</v>
      </c>
      <c r="E186" s="40">
        <v>2813.7937023674463</v>
      </c>
      <c r="F186" s="40">
        <v>661.27463999999998</v>
      </c>
      <c r="G186" s="40">
        <v>598.97463870705849</v>
      </c>
      <c r="H186" s="41">
        <v>-6.4291609777107461E-2</v>
      </c>
      <c r="I186" s="41">
        <v>-9.4211992301627467E-2</v>
      </c>
      <c r="J186" s="41">
        <v>-6.9685128163155641E-2</v>
      </c>
    </row>
    <row r="187" spans="1:10" ht="11.25" customHeight="1" x14ac:dyDescent="0.2">
      <c r="A187" s="50">
        <v>44652</v>
      </c>
      <c r="B187" s="40">
        <v>0</v>
      </c>
      <c r="C187" s="40">
        <v>0</v>
      </c>
      <c r="D187" s="40">
        <v>1942.1935999999998</v>
      </c>
      <c r="E187" s="40">
        <v>1817.3268469572045</v>
      </c>
      <c r="F187" s="40">
        <v>427.09320000000002</v>
      </c>
      <c r="G187" s="40">
        <v>386.85589872952261</v>
      </c>
      <c r="H187" s="41">
        <v>-6.429160977710735E-2</v>
      </c>
      <c r="I187" s="41">
        <v>-9.4211992301627356E-2</v>
      </c>
      <c r="J187" s="41">
        <v>-6.968512816315553E-2</v>
      </c>
    </row>
    <row r="188" spans="1:10" ht="11.25" customHeight="1" x14ac:dyDescent="0.2">
      <c r="A188" s="50">
        <v>44682</v>
      </c>
      <c r="B188" s="40">
        <v>0</v>
      </c>
      <c r="C188" s="40">
        <v>0</v>
      </c>
      <c r="D188" s="40">
        <v>1615.9487199999999</v>
      </c>
      <c r="E188" s="40">
        <v>1512.0567754739436</v>
      </c>
      <c r="F188" s="40">
        <v>355.35114000000004</v>
      </c>
      <c r="G188" s="40">
        <v>321.87280113394547</v>
      </c>
      <c r="H188" s="41">
        <v>-6.4291609777107461E-2</v>
      </c>
      <c r="I188" s="41">
        <v>-9.4211992301627578E-2</v>
      </c>
      <c r="J188" s="41">
        <v>-6.9685128163155752E-2</v>
      </c>
    </row>
    <row r="189" spans="1:10" ht="11.25" customHeight="1" x14ac:dyDescent="0.2">
      <c r="A189" s="50">
        <v>44713</v>
      </c>
      <c r="B189" s="40">
        <v>0</v>
      </c>
      <c r="C189" s="40">
        <v>0</v>
      </c>
      <c r="D189" s="40">
        <v>3434.3001999999997</v>
      </c>
      <c r="E189" s="40">
        <v>3213.5035116841577</v>
      </c>
      <c r="F189" s="40">
        <v>755.21114999999998</v>
      </c>
      <c r="G189" s="40">
        <v>684.0612029500968</v>
      </c>
      <c r="H189" s="41">
        <v>-6.4291609777107461E-2</v>
      </c>
      <c r="I189" s="41">
        <v>-9.4211992301627356E-2</v>
      </c>
      <c r="J189" s="41">
        <v>-6.9685128163155641E-2</v>
      </c>
    </row>
    <row r="190" spans="1:10" ht="11.25" customHeight="1" x14ac:dyDescent="0.2">
      <c r="A190" s="50">
        <v>44743</v>
      </c>
      <c r="B190" s="40">
        <v>0</v>
      </c>
      <c r="C190" s="40">
        <v>0</v>
      </c>
      <c r="D190" s="40">
        <v>1686.8715199999999</v>
      </c>
      <c r="E190" s="40">
        <v>1578.4198344920437</v>
      </c>
      <c r="F190" s="40">
        <v>370.94724000000002</v>
      </c>
      <c r="G190" s="40">
        <v>335.99956148081009</v>
      </c>
      <c r="H190" s="41">
        <v>-6.4291609777107461E-2</v>
      </c>
      <c r="I190" s="41">
        <v>-9.4211992301627356E-2</v>
      </c>
      <c r="J190" s="41">
        <v>-6.9685128163155752E-2</v>
      </c>
    </row>
    <row r="191" spans="1:10" ht="11.25" customHeight="1" x14ac:dyDescent="0.2">
      <c r="A191" s="50">
        <v>44774</v>
      </c>
      <c r="B191" s="40">
        <v>0</v>
      </c>
      <c r="C191" s="40">
        <v>0</v>
      </c>
      <c r="D191" s="40">
        <v>1686.8715199999999</v>
      </c>
      <c r="E191" s="40">
        <v>1578.4198344920437</v>
      </c>
      <c r="F191" s="40">
        <v>370.94724000000002</v>
      </c>
      <c r="G191" s="40">
        <v>335.99956148081009</v>
      </c>
      <c r="H191" s="41">
        <v>-6.4291609777107461E-2</v>
      </c>
      <c r="I191" s="41">
        <v>-9.4211992301627356E-2</v>
      </c>
      <c r="J191" s="41">
        <v>-6.9685128163155752E-2</v>
      </c>
    </row>
    <row r="192" spans="1:10" ht="11.25" customHeight="1" x14ac:dyDescent="0.2">
      <c r="A192" s="43" t="s">
        <v>42</v>
      </c>
      <c r="B192" s="40">
        <v>0</v>
      </c>
      <c r="C192" s="40">
        <v>0</v>
      </c>
      <c r="D192" s="40">
        <v>1806761.8376099998</v>
      </c>
      <c r="E192" s="40">
        <v>1946480.058047327</v>
      </c>
      <c r="F192" s="40">
        <v>355911.55253999995</v>
      </c>
      <c r="G192" s="40">
        <v>344340.02469642408</v>
      </c>
      <c r="H192" s="41">
        <v>7.7330734759234909E-2</v>
      </c>
      <c r="I192" s="41">
        <v>-3.2512369326014978E-2</v>
      </c>
      <c r="J192" s="41">
        <v>5.9253835173356029E-2</v>
      </c>
    </row>
    <row r="193" spans="1:10" ht="11.25" customHeight="1" x14ac:dyDescent="0.2">
      <c r="A193" s="44" t="s">
        <v>23</v>
      </c>
      <c r="B193" s="40">
        <v>0</v>
      </c>
      <c r="C193" s="40">
        <v>0</v>
      </c>
      <c r="D193" s="40">
        <v>1806761.8376099998</v>
      </c>
      <c r="E193" s="40">
        <v>1946480.058047327</v>
      </c>
      <c r="F193" s="40">
        <v>355911.55253999995</v>
      </c>
      <c r="G193" s="40">
        <v>344340.02469642408</v>
      </c>
      <c r="H193" s="41">
        <v>7.7330734759234909E-2</v>
      </c>
      <c r="I193" s="41">
        <v>-3.2512369326014978E-2</v>
      </c>
      <c r="J193" s="41">
        <v>5.9253835173356029E-2</v>
      </c>
    </row>
    <row r="194" spans="1:10" ht="11.25" customHeight="1" x14ac:dyDescent="0.2">
      <c r="A194" s="45" t="s">
        <v>43</v>
      </c>
      <c r="B194" s="40">
        <v>0</v>
      </c>
      <c r="C194" s="40">
        <v>0</v>
      </c>
      <c r="D194" s="40">
        <v>1806761.8376099998</v>
      </c>
      <c r="E194" s="40">
        <v>1946480.058047327</v>
      </c>
      <c r="F194" s="40">
        <v>355911.55253999995</v>
      </c>
      <c r="G194" s="40">
        <v>344340.02469642408</v>
      </c>
      <c r="H194" s="41">
        <v>7.7330734759234909E-2</v>
      </c>
      <c r="I194" s="41">
        <v>-3.2512369326014978E-2</v>
      </c>
      <c r="J194" s="41">
        <v>5.9253835173356029E-2</v>
      </c>
    </row>
    <row r="195" spans="1:10" ht="11.25" customHeight="1" x14ac:dyDescent="0.2">
      <c r="A195" s="46" t="s">
        <v>25</v>
      </c>
      <c r="B195" s="40">
        <v>0</v>
      </c>
      <c r="C195" s="40">
        <v>0</v>
      </c>
      <c r="D195" s="40">
        <v>1806761.8376099998</v>
      </c>
      <c r="E195" s="40">
        <v>1946480.058047327</v>
      </c>
      <c r="F195" s="40">
        <v>355911.55253999995</v>
      </c>
      <c r="G195" s="40">
        <v>344340.02469642408</v>
      </c>
      <c r="H195" s="41">
        <v>7.7330734759234909E-2</v>
      </c>
      <c r="I195" s="41">
        <v>-3.2512369326014978E-2</v>
      </c>
      <c r="J195" s="41">
        <v>5.9253835173356029E-2</v>
      </c>
    </row>
    <row r="196" spans="1:10" ht="11.25" customHeight="1" x14ac:dyDescent="0.2">
      <c r="A196" s="47" t="s">
        <v>25</v>
      </c>
      <c r="B196" s="40">
        <v>0</v>
      </c>
      <c r="C196" s="40">
        <v>0</v>
      </c>
      <c r="D196" s="40">
        <v>1806761.8376099998</v>
      </c>
      <c r="E196" s="40">
        <v>1946480.058047327</v>
      </c>
      <c r="F196" s="40">
        <v>355911.55253999995</v>
      </c>
      <c r="G196" s="40">
        <v>344340.02469642408</v>
      </c>
      <c r="H196" s="41">
        <v>7.7330734759234909E-2</v>
      </c>
      <c r="I196" s="41">
        <v>-3.2512369326014978E-2</v>
      </c>
      <c r="J196" s="41">
        <v>5.9253835173356029E-2</v>
      </c>
    </row>
    <row r="197" spans="1:10" ht="11.25" customHeight="1" x14ac:dyDescent="0.2">
      <c r="A197" s="48" t="s">
        <v>25</v>
      </c>
      <c r="B197" s="40">
        <v>0</v>
      </c>
      <c r="C197" s="40">
        <v>0</v>
      </c>
      <c r="D197" s="40">
        <v>1806761.8376099998</v>
      </c>
      <c r="E197" s="40">
        <v>1946480.058047327</v>
      </c>
      <c r="F197" s="40">
        <v>355911.55253999995</v>
      </c>
      <c r="G197" s="40">
        <v>344340.02469642408</v>
      </c>
      <c r="H197" s="41">
        <v>7.7330734759234909E-2</v>
      </c>
      <c r="I197" s="41">
        <v>-3.2512369326014978E-2</v>
      </c>
      <c r="J197" s="41">
        <v>5.9253835173356029E-2</v>
      </c>
    </row>
    <row r="198" spans="1:10" ht="11.25" customHeight="1" x14ac:dyDescent="0.2">
      <c r="A198" s="49" t="s">
        <v>25</v>
      </c>
      <c r="B198" s="40">
        <v>0</v>
      </c>
      <c r="C198" s="40">
        <v>0</v>
      </c>
      <c r="D198" s="40">
        <v>1806761.8376099998</v>
      </c>
      <c r="E198" s="40">
        <v>1946480.058047327</v>
      </c>
      <c r="F198" s="40">
        <v>355911.55253999995</v>
      </c>
      <c r="G198" s="40">
        <v>344340.02469642408</v>
      </c>
      <c r="H198" s="41">
        <v>7.7330734759234909E-2</v>
      </c>
      <c r="I198" s="41">
        <v>-3.2512369326014978E-2</v>
      </c>
      <c r="J198" s="41">
        <v>5.9253835173356029E-2</v>
      </c>
    </row>
    <row r="199" spans="1:10" ht="11.25" customHeight="1" x14ac:dyDescent="0.2">
      <c r="A199" s="50">
        <v>44440</v>
      </c>
      <c r="B199" s="40">
        <v>0</v>
      </c>
      <c r="C199" s="40">
        <v>0</v>
      </c>
      <c r="D199" s="40">
        <v>137353.56787</v>
      </c>
      <c r="E199" s="40">
        <v>147975.22019518953</v>
      </c>
      <c r="F199" s="40">
        <v>27057.09218</v>
      </c>
      <c r="G199" s="40">
        <v>26177.402006155804</v>
      </c>
      <c r="H199" s="41">
        <v>7.7330734759234909E-2</v>
      </c>
      <c r="I199" s="41">
        <v>-3.2512369326015089E-2</v>
      </c>
      <c r="J199" s="41">
        <v>5.9253835173355807E-2</v>
      </c>
    </row>
    <row r="200" spans="1:10" ht="11.25" customHeight="1" x14ac:dyDescent="0.2">
      <c r="A200" s="50">
        <v>44470</v>
      </c>
      <c r="B200" s="40">
        <v>0</v>
      </c>
      <c r="C200" s="40">
        <v>0</v>
      </c>
      <c r="D200" s="40">
        <v>155646.75993999999</v>
      </c>
      <c r="E200" s="40">
        <v>167683.03824905449</v>
      </c>
      <c r="F200" s="40">
        <v>30660.64316</v>
      </c>
      <c r="G200" s="40">
        <v>29663.793005808919</v>
      </c>
      <c r="H200" s="41">
        <v>7.7330734759235131E-2</v>
      </c>
      <c r="I200" s="41">
        <v>-3.25123693260152E-2</v>
      </c>
      <c r="J200" s="41">
        <v>5.9253835173356029E-2</v>
      </c>
    </row>
    <row r="201" spans="1:10" ht="11.25" customHeight="1" x14ac:dyDescent="0.2">
      <c r="A201" s="50">
        <v>44501</v>
      </c>
      <c r="B201" s="40">
        <v>0</v>
      </c>
      <c r="C201" s="40">
        <v>0</v>
      </c>
      <c r="D201" s="40">
        <v>142227.67905000001</v>
      </c>
      <c r="E201" s="40">
        <v>153226.24997403717</v>
      </c>
      <c r="F201" s="40">
        <v>28017.236700000001</v>
      </c>
      <c r="G201" s="40">
        <v>27106.329952915217</v>
      </c>
      <c r="H201" s="41">
        <v>7.7330734759235131E-2</v>
      </c>
      <c r="I201" s="41">
        <v>-3.2512369326015089E-2</v>
      </c>
      <c r="J201" s="41">
        <v>5.9253835173356029E-2</v>
      </c>
    </row>
    <row r="202" spans="1:10" ht="11.25" customHeight="1" x14ac:dyDescent="0.2">
      <c r="A202" s="50">
        <v>44531</v>
      </c>
      <c r="B202" s="40">
        <v>0</v>
      </c>
      <c r="C202" s="40">
        <v>0</v>
      </c>
      <c r="D202" s="40">
        <v>140505.07147000002</v>
      </c>
      <c r="E202" s="40">
        <v>151370.43188417394</v>
      </c>
      <c r="F202" s="40">
        <v>27677.902580000002</v>
      </c>
      <c r="G202" s="40">
        <v>26778.028389149575</v>
      </c>
      <c r="H202" s="41">
        <v>7.7330734759234909E-2</v>
      </c>
      <c r="I202" s="41">
        <v>-3.2512369326015089E-2</v>
      </c>
      <c r="J202" s="41">
        <v>5.9253835173356029E-2</v>
      </c>
    </row>
    <row r="203" spans="1:10" ht="11.25" customHeight="1" x14ac:dyDescent="0.2">
      <c r="A203" s="50">
        <v>44562</v>
      </c>
      <c r="B203" s="40">
        <v>0</v>
      </c>
      <c r="C203" s="40">
        <v>0</v>
      </c>
      <c r="D203" s="40">
        <v>169552.50159</v>
      </c>
      <c r="E203" s="40">
        <v>182664.12111822108</v>
      </c>
      <c r="F203" s="40">
        <v>33399.916259999998</v>
      </c>
      <c r="G203" s="40">
        <v>32314.005847096902</v>
      </c>
      <c r="H203" s="41">
        <v>7.7330734759235131E-2</v>
      </c>
      <c r="I203" s="41">
        <v>-3.2512369326015089E-2</v>
      </c>
      <c r="J203" s="41">
        <v>5.9253835173356029E-2</v>
      </c>
    </row>
    <row r="204" spans="1:10" ht="11.25" customHeight="1" x14ac:dyDescent="0.2">
      <c r="A204" s="50">
        <v>44593</v>
      </c>
      <c r="B204" s="40">
        <v>0</v>
      </c>
      <c r="C204" s="40">
        <v>0</v>
      </c>
      <c r="D204" s="40">
        <v>183751.95480000001</v>
      </c>
      <c r="E204" s="40">
        <v>197961.62847812974</v>
      </c>
      <c r="F204" s="40">
        <v>36197.047199999994</v>
      </c>
      <c r="G204" s="40">
        <v>35020.195432922403</v>
      </c>
      <c r="H204" s="41">
        <v>7.7330734759234909E-2</v>
      </c>
      <c r="I204" s="41">
        <v>-3.2512369326014867E-2</v>
      </c>
      <c r="J204" s="41">
        <v>5.9253835173355807E-2</v>
      </c>
    </row>
    <row r="205" spans="1:10" ht="11.25" customHeight="1" x14ac:dyDescent="0.2">
      <c r="A205" s="50">
        <v>44621</v>
      </c>
      <c r="B205" s="40">
        <v>0</v>
      </c>
      <c r="C205" s="40">
        <v>0</v>
      </c>
      <c r="D205" s="40">
        <v>164342.87318999998</v>
      </c>
      <c r="E205" s="40">
        <v>177051.62832622649</v>
      </c>
      <c r="F205" s="40">
        <v>32373.678659999998</v>
      </c>
      <c r="G205" s="40">
        <v>31321.133662964345</v>
      </c>
      <c r="H205" s="41">
        <v>7.7330734759235131E-2</v>
      </c>
      <c r="I205" s="41">
        <v>-3.2512369326015089E-2</v>
      </c>
      <c r="J205" s="41">
        <v>5.9253835173356029E-2</v>
      </c>
    </row>
    <row r="206" spans="1:10" ht="11.25" customHeight="1" x14ac:dyDescent="0.2">
      <c r="A206" s="50">
        <v>44652</v>
      </c>
      <c r="B206" s="40">
        <v>0</v>
      </c>
      <c r="C206" s="40">
        <v>0</v>
      </c>
      <c r="D206" s="40">
        <v>139563.90815000003</v>
      </c>
      <c r="E206" s="40">
        <v>150356.48771310991</v>
      </c>
      <c r="F206" s="40">
        <v>27492.504100000002</v>
      </c>
      <c r="G206" s="40">
        <v>26598.657653003815</v>
      </c>
      <c r="H206" s="41">
        <v>7.7330734759234909E-2</v>
      </c>
      <c r="I206" s="41">
        <v>-3.25123693260152E-2</v>
      </c>
      <c r="J206" s="41">
        <v>5.9253835173355807E-2</v>
      </c>
    </row>
    <row r="207" spans="1:10" ht="11.25" customHeight="1" x14ac:dyDescent="0.2">
      <c r="A207" s="50">
        <v>44682</v>
      </c>
      <c r="B207" s="40">
        <v>0</v>
      </c>
      <c r="C207" s="40">
        <v>0</v>
      </c>
      <c r="D207" s="40">
        <v>125340.33629000002</v>
      </c>
      <c r="E207" s="40">
        <v>135032.99659027532</v>
      </c>
      <c r="F207" s="40">
        <v>24690.622060000002</v>
      </c>
      <c r="G207" s="40">
        <v>23887.871436696223</v>
      </c>
      <c r="H207" s="41">
        <v>7.7330734759234909E-2</v>
      </c>
      <c r="I207" s="41">
        <v>-3.25123693260152E-2</v>
      </c>
      <c r="J207" s="41">
        <v>5.9253835173355807E-2</v>
      </c>
    </row>
    <row r="208" spans="1:10" ht="11.25" customHeight="1" x14ac:dyDescent="0.2">
      <c r="A208" s="50">
        <v>44713</v>
      </c>
      <c r="B208" s="40">
        <v>0</v>
      </c>
      <c r="C208" s="40">
        <v>0</v>
      </c>
      <c r="D208" s="40">
        <v>159415.70098000002</v>
      </c>
      <c r="E208" s="40">
        <v>171743.4342689419</v>
      </c>
      <c r="F208" s="40">
        <v>31403.081719999995</v>
      </c>
      <c r="G208" s="40">
        <v>30382.093129144323</v>
      </c>
      <c r="H208" s="41">
        <v>7.7330734759234909E-2</v>
      </c>
      <c r="I208" s="41">
        <v>-3.2512369326015089E-2</v>
      </c>
      <c r="J208" s="41">
        <v>5.9253835173355807E-2</v>
      </c>
    </row>
    <row r="209" spans="1:10" ht="11.25" customHeight="1" x14ac:dyDescent="0.2">
      <c r="A209" s="50">
        <v>44743</v>
      </c>
      <c r="B209" s="40">
        <v>0</v>
      </c>
      <c r="C209" s="40">
        <v>0</v>
      </c>
      <c r="D209" s="40">
        <v>144530.74214000002</v>
      </c>
      <c r="E209" s="40">
        <v>155707.41062498372</v>
      </c>
      <c r="F209" s="40">
        <v>28470.913959999998</v>
      </c>
      <c r="G209" s="40">
        <v>27545.257090283281</v>
      </c>
      <c r="H209" s="41">
        <v>7.7330734759234909E-2</v>
      </c>
      <c r="I209" s="41">
        <v>-3.2512369326014978E-2</v>
      </c>
      <c r="J209" s="41">
        <v>5.9253835173355585E-2</v>
      </c>
    </row>
    <row r="210" spans="1:10" ht="11.25" customHeight="1" x14ac:dyDescent="0.2">
      <c r="A210" s="50">
        <v>44774</v>
      </c>
      <c r="B210" s="40">
        <v>0</v>
      </c>
      <c r="C210" s="40">
        <v>0</v>
      </c>
      <c r="D210" s="40">
        <v>144530.74214000002</v>
      </c>
      <c r="E210" s="40">
        <v>155707.41062498372</v>
      </c>
      <c r="F210" s="40">
        <v>28470.913959999998</v>
      </c>
      <c r="G210" s="40">
        <v>27545.257090283281</v>
      </c>
      <c r="H210" s="41">
        <v>7.7330734759234909E-2</v>
      </c>
      <c r="I210" s="41">
        <v>-3.2512369326014978E-2</v>
      </c>
      <c r="J210" s="41">
        <v>5.9253835173355585E-2</v>
      </c>
    </row>
    <row r="211" spans="1:10" ht="11.25" customHeight="1" x14ac:dyDescent="0.2">
      <c r="A211" s="43" t="s">
        <v>33</v>
      </c>
      <c r="B211" s="40">
        <v>0</v>
      </c>
      <c r="C211" s="40">
        <v>0</v>
      </c>
      <c r="D211" s="40">
        <v>2115450.2573671998</v>
      </c>
      <c r="E211" s="40">
        <v>2137904.9603298651</v>
      </c>
      <c r="F211" s="40">
        <v>428559.30778139993</v>
      </c>
      <c r="G211" s="40">
        <v>388183.88157590787</v>
      </c>
      <c r="H211" s="41">
        <v>1.0614621111730393E-2</v>
      </c>
      <c r="I211" s="41">
        <v>-9.4211992301627245E-2</v>
      </c>
      <c r="J211" s="41">
        <v>-7.0442829650994021E-3</v>
      </c>
    </row>
    <row r="212" spans="1:10" ht="11.25" customHeight="1" x14ac:dyDescent="0.2">
      <c r="A212" s="44" t="s">
        <v>39</v>
      </c>
      <c r="B212" s="40">
        <v>0</v>
      </c>
      <c r="C212" s="40">
        <v>0</v>
      </c>
      <c r="D212" s="40">
        <v>168955.02575000018</v>
      </c>
      <c r="E212" s="40">
        <v>174748.36352562241</v>
      </c>
      <c r="F212" s="40">
        <v>45147.11040000002</v>
      </c>
      <c r="G212" s="40">
        <v>40893.711182554471</v>
      </c>
      <c r="H212" s="41">
        <v>3.4289230225057699E-2</v>
      </c>
      <c r="I212" s="41">
        <v>-9.4211992301627689E-2</v>
      </c>
      <c r="J212" s="41">
        <v>7.1925417740712483E-3</v>
      </c>
    </row>
    <row r="213" spans="1:10" ht="11.25" customHeight="1" x14ac:dyDescent="0.2">
      <c r="A213" s="45" t="s">
        <v>34</v>
      </c>
      <c r="B213" s="40">
        <v>0</v>
      </c>
      <c r="C213" s="40">
        <v>0</v>
      </c>
      <c r="D213" s="40">
        <v>168955.02575000018</v>
      </c>
      <c r="E213" s="40">
        <v>174748.36352562241</v>
      </c>
      <c r="F213" s="40">
        <v>45147.11040000002</v>
      </c>
      <c r="G213" s="40">
        <v>40893.711182554471</v>
      </c>
      <c r="H213" s="41">
        <v>3.4289230225057699E-2</v>
      </c>
      <c r="I213" s="41">
        <v>-9.4211992301627689E-2</v>
      </c>
      <c r="J213" s="41">
        <v>7.1925417740712483E-3</v>
      </c>
    </row>
    <row r="214" spans="1:10" ht="11.25" customHeight="1" x14ac:dyDescent="0.2">
      <c r="A214" s="46" t="s">
        <v>25</v>
      </c>
      <c r="B214" s="40">
        <v>0</v>
      </c>
      <c r="C214" s="40">
        <v>0</v>
      </c>
      <c r="D214" s="40">
        <v>168955.02575000018</v>
      </c>
      <c r="E214" s="40">
        <v>174748.36352562241</v>
      </c>
      <c r="F214" s="40">
        <v>45147.11040000002</v>
      </c>
      <c r="G214" s="40">
        <v>40893.711182554471</v>
      </c>
      <c r="H214" s="41">
        <v>3.4289230225057699E-2</v>
      </c>
      <c r="I214" s="41">
        <v>-9.4211992301627689E-2</v>
      </c>
      <c r="J214" s="41">
        <v>7.1925417740712483E-3</v>
      </c>
    </row>
    <row r="215" spans="1:10" ht="11.25" customHeight="1" x14ac:dyDescent="0.2">
      <c r="A215" s="47" t="s">
        <v>25</v>
      </c>
      <c r="B215" s="40">
        <v>0</v>
      </c>
      <c r="C215" s="40">
        <v>0</v>
      </c>
      <c r="D215" s="40">
        <v>168955.02575000018</v>
      </c>
      <c r="E215" s="40">
        <v>174748.36352562241</v>
      </c>
      <c r="F215" s="40">
        <v>45147.11040000002</v>
      </c>
      <c r="G215" s="40">
        <v>40893.711182554471</v>
      </c>
      <c r="H215" s="41">
        <v>3.4289230225057699E-2</v>
      </c>
      <c r="I215" s="41">
        <v>-9.4211992301627689E-2</v>
      </c>
      <c r="J215" s="41">
        <v>7.1925417740712483E-3</v>
      </c>
    </row>
    <row r="216" spans="1:10" ht="11.25" customHeight="1" x14ac:dyDescent="0.2">
      <c r="A216" s="48" t="s">
        <v>25</v>
      </c>
      <c r="B216" s="40">
        <v>0</v>
      </c>
      <c r="C216" s="40">
        <v>0</v>
      </c>
      <c r="D216" s="40">
        <v>168955.02575000018</v>
      </c>
      <c r="E216" s="40">
        <v>174748.36352562241</v>
      </c>
      <c r="F216" s="40">
        <v>45147.11040000002</v>
      </c>
      <c r="G216" s="40">
        <v>40893.711182554471</v>
      </c>
      <c r="H216" s="41">
        <v>3.4289230225057699E-2</v>
      </c>
      <c r="I216" s="41">
        <v>-9.4211992301627689E-2</v>
      </c>
      <c r="J216" s="41">
        <v>7.1925417740712483E-3</v>
      </c>
    </row>
    <row r="217" spans="1:10" ht="11.25" customHeight="1" x14ac:dyDescent="0.2">
      <c r="A217" s="49" t="s">
        <v>38</v>
      </c>
      <c r="B217" s="40">
        <v>0</v>
      </c>
      <c r="C217" s="40">
        <v>0</v>
      </c>
      <c r="D217" s="40">
        <v>164445.52530000004</v>
      </c>
      <c r="E217" s="40">
        <v>170382.84505921812</v>
      </c>
      <c r="F217" s="40">
        <v>44757.207900000001</v>
      </c>
      <c r="G217" s="40">
        <v>40540.542173882859</v>
      </c>
      <c r="H217" s="41">
        <v>3.6105085549677396E-2</v>
      </c>
      <c r="I217" s="41">
        <v>-9.4211992301627467E-2</v>
      </c>
      <c r="J217" s="41">
        <v>8.2248162190883267E-3</v>
      </c>
    </row>
    <row r="218" spans="1:10" ht="11.25" customHeight="1" x14ac:dyDescent="0.2">
      <c r="A218" s="50">
        <v>44440</v>
      </c>
      <c r="B218" s="40">
        <v>0</v>
      </c>
      <c r="C218" s="40">
        <v>0</v>
      </c>
      <c r="D218" s="40">
        <v>12397.21875</v>
      </c>
      <c r="E218" s="40">
        <v>12844.82139354681</v>
      </c>
      <c r="F218" s="40">
        <v>3374.15625</v>
      </c>
      <c r="G218" s="40">
        <v>3056.2702673505119</v>
      </c>
      <c r="H218" s="41">
        <v>3.6105085549676952E-2</v>
      </c>
      <c r="I218" s="41">
        <v>-9.4211992301627467E-2</v>
      </c>
      <c r="J218" s="41">
        <v>8.2248162190881047E-3</v>
      </c>
    </row>
    <row r="219" spans="1:10" ht="11.25" customHeight="1" x14ac:dyDescent="0.2">
      <c r="A219" s="50">
        <v>44470</v>
      </c>
      <c r="B219" s="40">
        <v>0</v>
      </c>
      <c r="C219" s="40">
        <v>0</v>
      </c>
      <c r="D219" s="40">
        <v>14971.873140000002</v>
      </c>
      <c r="E219" s="40">
        <v>15512.433900558613</v>
      </c>
      <c r="F219" s="40">
        <v>4074.9010200000002</v>
      </c>
      <c r="G219" s="40">
        <v>3690.9964764738666</v>
      </c>
      <c r="H219" s="41">
        <v>3.6105085549676952E-2</v>
      </c>
      <c r="I219" s="41">
        <v>-9.4211992301627356E-2</v>
      </c>
      <c r="J219" s="41">
        <v>8.2248162190883267E-3</v>
      </c>
    </row>
    <row r="220" spans="1:10" ht="11.25" customHeight="1" x14ac:dyDescent="0.2">
      <c r="A220" s="50">
        <v>44501</v>
      </c>
      <c r="B220" s="40">
        <v>0</v>
      </c>
      <c r="C220" s="40">
        <v>0</v>
      </c>
      <c r="D220" s="40">
        <v>15009.781080000001</v>
      </c>
      <c r="E220" s="40">
        <v>15551.710509975324</v>
      </c>
      <c r="F220" s="40">
        <v>4085.2184400000001</v>
      </c>
      <c r="G220" s="40">
        <v>3700.3418717802538</v>
      </c>
      <c r="H220" s="41">
        <v>3.6105085549676952E-2</v>
      </c>
      <c r="I220" s="41">
        <v>-9.4211992301627356E-2</v>
      </c>
      <c r="J220" s="41">
        <v>8.2248162190881047E-3</v>
      </c>
    </row>
    <row r="221" spans="1:10" ht="11.25" customHeight="1" x14ac:dyDescent="0.2">
      <c r="A221" s="50">
        <v>44531</v>
      </c>
      <c r="B221" s="40">
        <v>0</v>
      </c>
      <c r="C221" s="40">
        <v>0</v>
      </c>
      <c r="D221" s="40">
        <v>12257.04753</v>
      </c>
      <c r="E221" s="40">
        <v>12699.589279657108</v>
      </c>
      <c r="F221" s="40">
        <v>3336.0057899999997</v>
      </c>
      <c r="G221" s="40">
        <v>3021.7140381943354</v>
      </c>
      <c r="H221" s="41">
        <v>3.6105085549677174E-2</v>
      </c>
      <c r="I221" s="41">
        <v>-9.4211992301627356E-2</v>
      </c>
      <c r="J221" s="41">
        <v>8.2248162190883267E-3</v>
      </c>
    </row>
    <row r="222" spans="1:10" ht="11.25" customHeight="1" x14ac:dyDescent="0.2">
      <c r="A222" s="50">
        <v>44562</v>
      </c>
      <c r="B222" s="40">
        <v>0</v>
      </c>
      <c r="C222" s="40">
        <v>0</v>
      </c>
      <c r="D222" s="40">
        <v>9380.4519899999996</v>
      </c>
      <c r="E222" s="40">
        <v>9719.1340115935891</v>
      </c>
      <c r="F222" s="40">
        <v>2553.0815699999998</v>
      </c>
      <c r="G222" s="40">
        <v>2312.5506687817328</v>
      </c>
      <c r="H222" s="41">
        <v>3.6105085549677174E-2</v>
      </c>
      <c r="I222" s="41">
        <v>-9.4211992301627467E-2</v>
      </c>
      <c r="J222" s="41">
        <v>8.2248162190883267E-3</v>
      </c>
    </row>
    <row r="223" spans="1:10" ht="11.25" customHeight="1" x14ac:dyDescent="0.2">
      <c r="A223" s="50">
        <v>44593</v>
      </c>
      <c r="B223" s="40">
        <v>0</v>
      </c>
      <c r="C223" s="40">
        <v>0</v>
      </c>
      <c r="D223" s="40">
        <v>15035.3469</v>
      </c>
      <c r="E223" s="40">
        <v>15578.199386093573</v>
      </c>
      <c r="F223" s="40">
        <v>4092.1767</v>
      </c>
      <c r="G223" s="40">
        <v>3706.6445802427011</v>
      </c>
      <c r="H223" s="41">
        <v>3.6105085549677174E-2</v>
      </c>
      <c r="I223" s="41">
        <v>-9.4211992301627356E-2</v>
      </c>
      <c r="J223" s="41">
        <v>8.2248162190883267E-3</v>
      </c>
    </row>
    <row r="224" spans="1:10" ht="11.25" customHeight="1" x14ac:dyDescent="0.2">
      <c r="A224" s="50">
        <v>44621</v>
      </c>
      <c r="B224" s="40">
        <v>0</v>
      </c>
      <c r="C224" s="40">
        <v>0</v>
      </c>
      <c r="D224" s="40">
        <v>15752.953020000001</v>
      </c>
      <c r="E224" s="40">
        <v>16321.714736447144</v>
      </c>
      <c r="F224" s="40">
        <v>4287.4878600000002</v>
      </c>
      <c r="G224" s="40">
        <v>3883.555086740359</v>
      </c>
      <c r="H224" s="41">
        <v>3.6105085549676952E-2</v>
      </c>
      <c r="I224" s="41">
        <v>-9.4211992301627467E-2</v>
      </c>
      <c r="J224" s="41">
        <v>8.2248162190881047E-3</v>
      </c>
    </row>
    <row r="225" spans="1:10" ht="11.25" customHeight="1" x14ac:dyDescent="0.2">
      <c r="A225" s="50">
        <v>44652</v>
      </c>
      <c r="B225" s="40">
        <v>0</v>
      </c>
      <c r="C225" s="40">
        <v>0</v>
      </c>
      <c r="D225" s="40">
        <v>13218.410520000001</v>
      </c>
      <c r="E225" s="40">
        <v>13695.662362655352</v>
      </c>
      <c r="F225" s="40">
        <v>3597.6603599999999</v>
      </c>
      <c r="G225" s="40">
        <v>3258.7176098598097</v>
      </c>
      <c r="H225" s="41">
        <v>3.6105085549676952E-2</v>
      </c>
      <c r="I225" s="41">
        <v>-9.4211992301627467E-2</v>
      </c>
      <c r="J225" s="41">
        <v>8.2248162190883267E-3</v>
      </c>
    </row>
    <row r="226" spans="1:10" ht="11.25" customHeight="1" x14ac:dyDescent="0.2">
      <c r="A226" s="50">
        <v>44682</v>
      </c>
      <c r="B226" s="40">
        <v>0</v>
      </c>
      <c r="C226" s="40">
        <v>0</v>
      </c>
      <c r="D226" s="40">
        <v>12149.93556</v>
      </c>
      <c r="E226" s="40">
        <v>12588.610022816863</v>
      </c>
      <c r="F226" s="40">
        <v>3306.8530799999999</v>
      </c>
      <c r="G226" s="40">
        <v>2995.307863084427</v>
      </c>
      <c r="H226" s="41">
        <v>3.6105085549677174E-2</v>
      </c>
      <c r="I226" s="41">
        <v>-9.4211992301627356E-2</v>
      </c>
      <c r="J226" s="41">
        <v>8.2248162190883267E-3</v>
      </c>
    </row>
    <row r="227" spans="1:10" ht="11.25" customHeight="1" x14ac:dyDescent="0.2">
      <c r="A227" s="50">
        <v>44713</v>
      </c>
      <c r="B227" s="40">
        <v>0</v>
      </c>
      <c r="C227" s="40">
        <v>0</v>
      </c>
      <c r="D227" s="40">
        <v>15398.11707</v>
      </c>
      <c r="E227" s="40">
        <v>15954.067404116293</v>
      </c>
      <c r="F227" s="40">
        <v>4190.91201</v>
      </c>
      <c r="G227" s="40">
        <v>3796.077839977082</v>
      </c>
      <c r="H227" s="41">
        <v>3.6105085549676952E-2</v>
      </c>
      <c r="I227" s="41">
        <v>-9.4211992301627467E-2</v>
      </c>
      <c r="J227" s="41">
        <v>8.2248162190883267E-3</v>
      </c>
    </row>
    <row r="228" spans="1:10" ht="11.25" customHeight="1" x14ac:dyDescent="0.2">
      <c r="A228" s="50">
        <v>44743</v>
      </c>
      <c r="B228" s="40">
        <v>0</v>
      </c>
      <c r="C228" s="40">
        <v>0</v>
      </c>
      <c r="D228" s="40">
        <v>14437.194870000001</v>
      </c>
      <c r="E228" s="40">
        <v>14958.45102587871</v>
      </c>
      <c r="F228" s="40">
        <v>3929.3774100000001</v>
      </c>
      <c r="G228" s="40">
        <v>3559.1829356988919</v>
      </c>
      <c r="H228" s="41">
        <v>3.6105085549677174E-2</v>
      </c>
      <c r="I228" s="41">
        <v>-9.4211992301627245E-2</v>
      </c>
      <c r="J228" s="41">
        <v>8.2248162190883267E-3</v>
      </c>
    </row>
    <row r="229" spans="1:10" ht="11.25" customHeight="1" x14ac:dyDescent="0.2">
      <c r="A229" s="50">
        <v>44774</v>
      </c>
      <c r="B229" s="40">
        <v>0</v>
      </c>
      <c r="C229" s="40">
        <v>0</v>
      </c>
      <c r="D229" s="40">
        <v>14437.194870000001</v>
      </c>
      <c r="E229" s="40">
        <v>14958.45102587871</v>
      </c>
      <c r="F229" s="40">
        <v>3929.3774100000001</v>
      </c>
      <c r="G229" s="40">
        <v>3559.1829356988919</v>
      </c>
      <c r="H229" s="41">
        <v>3.6105085549677174E-2</v>
      </c>
      <c r="I229" s="41">
        <v>-9.4211992301627245E-2</v>
      </c>
      <c r="J229" s="41">
        <v>8.2248162190883267E-3</v>
      </c>
    </row>
    <row r="230" spans="1:10" ht="11.25" customHeight="1" x14ac:dyDescent="0.2">
      <c r="A230" s="49" t="s">
        <v>40</v>
      </c>
      <c r="B230" s="40">
        <v>0</v>
      </c>
      <c r="C230" s="40">
        <v>0</v>
      </c>
      <c r="D230" s="40">
        <v>2539.35851</v>
      </c>
      <c r="E230" s="40">
        <v>2474.3908882441629</v>
      </c>
      <c r="F230" s="40">
        <v>263.57409000000001</v>
      </c>
      <c r="G230" s="40">
        <v>238.74224986201153</v>
      </c>
      <c r="H230" s="41">
        <v>-2.5584265278020046E-2</v>
      </c>
      <c r="I230" s="41">
        <v>-9.4211992301627467E-2</v>
      </c>
      <c r="J230" s="41">
        <v>-3.2037681496096648E-2</v>
      </c>
    </row>
    <row r="231" spans="1:10" ht="11.25" customHeight="1" x14ac:dyDescent="0.2">
      <c r="A231" s="50">
        <v>44440</v>
      </c>
      <c r="B231" s="40">
        <v>0</v>
      </c>
      <c r="C231" s="40">
        <v>0</v>
      </c>
      <c r="D231" s="40">
        <v>166.43951999999999</v>
      </c>
      <c r="E231" s="40">
        <v>162.18128716757371</v>
      </c>
      <c r="F231" s="40">
        <v>17.275679999999998</v>
      </c>
      <c r="G231" s="40">
        <v>15.64810376883462</v>
      </c>
      <c r="H231" s="41">
        <v>-2.5584265278019713E-2</v>
      </c>
      <c r="I231" s="41">
        <v>-9.4211992301627356E-2</v>
      </c>
      <c r="J231" s="41">
        <v>-3.2037681496096315E-2</v>
      </c>
    </row>
    <row r="232" spans="1:10" ht="11.25" customHeight="1" x14ac:dyDescent="0.2">
      <c r="A232" s="50">
        <v>44470</v>
      </c>
      <c r="B232" s="40">
        <v>0</v>
      </c>
      <c r="C232" s="40">
        <v>0</v>
      </c>
      <c r="D232" s="40">
        <v>381.4239</v>
      </c>
      <c r="E232" s="40">
        <v>371.66544975902315</v>
      </c>
      <c r="F232" s="40">
        <v>39.5901</v>
      </c>
      <c r="G232" s="40">
        <v>35.860237803579345</v>
      </c>
      <c r="H232" s="41">
        <v>-2.5584265278019713E-2</v>
      </c>
      <c r="I232" s="41">
        <v>-9.4211992301627245E-2</v>
      </c>
      <c r="J232" s="41">
        <v>-3.2037681496096315E-2</v>
      </c>
    </row>
    <row r="233" spans="1:10" ht="11.25" customHeight="1" x14ac:dyDescent="0.2">
      <c r="A233" s="50">
        <v>44501</v>
      </c>
      <c r="B233" s="40">
        <v>0</v>
      </c>
      <c r="C233" s="40">
        <v>0</v>
      </c>
      <c r="D233" s="40">
        <v>166.43951999999999</v>
      </c>
      <c r="E233" s="40">
        <v>162.18128716757371</v>
      </c>
      <c r="F233" s="40">
        <v>17.275679999999998</v>
      </c>
      <c r="G233" s="40">
        <v>15.64810376883462</v>
      </c>
      <c r="H233" s="41">
        <v>-2.5584265278019713E-2</v>
      </c>
      <c r="I233" s="41">
        <v>-9.4211992301627356E-2</v>
      </c>
      <c r="J233" s="41">
        <v>-3.2037681496096315E-2</v>
      </c>
    </row>
    <row r="234" spans="1:10" ht="11.25" customHeight="1" x14ac:dyDescent="0.2">
      <c r="A234" s="50">
        <v>44531</v>
      </c>
      <c r="B234" s="40">
        <v>0</v>
      </c>
      <c r="C234" s="40">
        <v>0</v>
      </c>
      <c r="D234" s="40">
        <v>213.82854999999998</v>
      </c>
      <c r="E234" s="40">
        <v>208.35790365278569</v>
      </c>
      <c r="F234" s="40">
        <v>22.19445</v>
      </c>
      <c r="G234" s="40">
        <v>20.103466647461147</v>
      </c>
      <c r="H234" s="41">
        <v>-2.5584265278019602E-2</v>
      </c>
      <c r="I234" s="41">
        <v>-9.4211992301627356E-2</v>
      </c>
      <c r="J234" s="41">
        <v>-3.2037681496096315E-2</v>
      </c>
    </row>
    <row r="235" spans="1:10" ht="11.25" customHeight="1" x14ac:dyDescent="0.2">
      <c r="A235" s="50">
        <v>44562</v>
      </c>
      <c r="B235" s="40">
        <v>0</v>
      </c>
      <c r="C235" s="40">
        <v>0</v>
      </c>
      <c r="D235" s="40">
        <v>119.05048999999998</v>
      </c>
      <c r="E235" s="40">
        <v>116.00467068236176</v>
      </c>
      <c r="F235" s="40">
        <v>12.356909999999999</v>
      </c>
      <c r="G235" s="40">
        <v>11.192740890208096</v>
      </c>
      <c r="H235" s="41">
        <v>-2.5584265278019602E-2</v>
      </c>
      <c r="I235" s="41">
        <v>-9.4211992301627467E-2</v>
      </c>
      <c r="J235" s="41">
        <v>-3.2037681496096315E-2</v>
      </c>
    </row>
    <row r="236" spans="1:10" ht="11.25" customHeight="1" x14ac:dyDescent="0.2">
      <c r="A236" s="50">
        <v>44593</v>
      </c>
      <c r="B236" s="40">
        <v>0</v>
      </c>
      <c r="C236" s="40">
        <v>0</v>
      </c>
      <c r="D236" s="40">
        <v>226.54267999999999</v>
      </c>
      <c r="E236" s="40">
        <v>220.74675197808648</v>
      </c>
      <c r="F236" s="40">
        <v>23.514120000000002</v>
      </c>
      <c r="G236" s="40">
        <v>21.298807907580457</v>
      </c>
      <c r="H236" s="41">
        <v>-2.5584265278019602E-2</v>
      </c>
      <c r="I236" s="41">
        <v>-9.4211992301627467E-2</v>
      </c>
      <c r="J236" s="41">
        <v>-3.2037681496096315E-2</v>
      </c>
    </row>
    <row r="237" spans="1:10" ht="11.25" customHeight="1" x14ac:dyDescent="0.2">
      <c r="A237" s="50">
        <v>44621</v>
      </c>
      <c r="B237" s="40">
        <v>0</v>
      </c>
      <c r="C237" s="40">
        <v>0</v>
      </c>
      <c r="D237" s="40">
        <v>213.82854999999998</v>
      </c>
      <c r="E237" s="40">
        <v>208.35790365278569</v>
      </c>
      <c r="F237" s="40">
        <v>22.19445</v>
      </c>
      <c r="G237" s="40">
        <v>20.103466647461147</v>
      </c>
      <c r="H237" s="41">
        <v>-2.5584265278019602E-2</v>
      </c>
      <c r="I237" s="41">
        <v>-9.4211992301627356E-2</v>
      </c>
      <c r="J237" s="41">
        <v>-3.2037681496096315E-2</v>
      </c>
    </row>
    <row r="238" spans="1:10" ht="11.25" customHeight="1" x14ac:dyDescent="0.2">
      <c r="A238" s="50">
        <v>44652</v>
      </c>
      <c r="B238" s="40">
        <v>0</v>
      </c>
      <c r="C238" s="40">
        <v>0</v>
      </c>
      <c r="D238" s="40">
        <v>261.21758</v>
      </c>
      <c r="E238" s="40">
        <v>254.53452013799767</v>
      </c>
      <c r="F238" s="40">
        <v>27.113220000000002</v>
      </c>
      <c r="G238" s="40">
        <v>24.558829526087671</v>
      </c>
      <c r="H238" s="41">
        <v>-2.5584265278019713E-2</v>
      </c>
      <c r="I238" s="41">
        <v>-9.4211992301627467E-2</v>
      </c>
      <c r="J238" s="41">
        <v>-3.2037681496096426E-2</v>
      </c>
    </row>
    <row r="239" spans="1:10" ht="11.25" customHeight="1" x14ac:dyDescent="0.2">
      <c r="A239" s="50">
        <v>44682</v>
      </c>
      <c r="B239" s="40">
        <v>0</v>
      </c>
      <c r="C239" s="40">
        <v>0</v>
      </c>
      <c r="D239" s="40">
        <v>226.54267999999999</v>
      </c>
      <c r="E239" s="40">
        <v>220.74675197808648</v>
      </c>
      <c r="F239" s="40">
        <v>23.514120000000002</v>
      </c>
      <c r="G239" s="40">
        <v>21.298807907580457</v>
      </c>
      <c r="H239" s="41">
        <v>-2.5584265278019602E-2</v>
      </c>
      <c r="I239" s="41">
        <v>-9.4211992301627467E-2</v>
      </c>
      <c r="J239" s="41">
        <v>-3.2037681496096315E-2</v>
      </c>
    </row>
    <row r="240" spans="1:10" ht="11.25" customHeight="1" x14ac:dyDescent="0.2">
      <c r="A240" s="50">
        <v>44713</v>
      </c>
      <c r="B240" s="40">
        <v>0</v>
      </c>
      <c r="C240" s="40">
        <v>0</v>
      </c>
      <c r="D240" s="40">
        <v>272.77587999999997</v>
      </c>
      <c r="E240" s="40">
        <v>265.79710952463472</v>
      </c>
      <c r="F240" s="40">
        <v>28.312919999999998</v>
      </c>
      <c r="G240" s="40">
        <v>25.645503398923406</v>
      </c>
      <c r="H240" s="41">
        <v>-2.5584265278019602E-2</v>
      </c>
      <c r="I240" s="41">
        <v>-9.4211992301627356E-2</v>
      </c>
      <c r="J240" s="41">
        <v>-3.2037681496096426E-2</v>
      </c>
    </row>
    <row r="241" spans="1:10" ht="11.25" customHeight="1" x14ac:dyDescent="0.2">
      <c r="A241" s="50">
        <v>44743</v>
      </c>
      <c r="B241" s="40">
        <v>0</v>
      </c>
      <c r="C241" s="40">
        <v>0</v>
      </c>
      <c r="D241" s="40">
        <v>145.63458</v>
      </c>
      <c r="E241" s="40">
        <v>141.90862627162701</v>
      </c>
      <c r="F241" s="40">
        <v>15.11622</v>
      </c>
      <c r="G241" s="40">
        <v>13.692090797730295</v>
      </c>
      <c r="H241" s="41">
        <v>-2.5584265278019713E-2</v>
      </c>
      <c r="I241" s="41">
        <v>-9.4211992301627356E-2</v>
      </c>
      <c r="J241" s="41">
        <v>-3.2037681496096426E-2</v>
      </c>
    </row>
    <row r="242" spans="1:10" ht="11.25" customHeight="1" x14ac:dyDescent="0.2">
      <c r="A242" s="50">
        <v>44774</v>
      </c>
      <c r="B242" s="40">
        <v>0</v>
      </c>
      <c r="C242" s="40">
        <v>0</v>
      </c>
      <c r="D242" s="40">
        <v>145.63458</v>
      </c>
      <c r="E242" s="40">
        <v>141.90862627162701</v>
      </c>
      <c r="F242" s="40">
        <v>15.11622</v>
      </c>
      <c r="G242" s="40">
        <v>13.692090797730295</v>
      </c>
      <c r="H242" s="41">
        <v>-2.5584265278019713E-2</v>
      </c>
      <c r="I242" s="41">
        <v>-9.4211992301627356E-2</v>
      </c>
      <c r="J242" s="41">
        <v>-3.2037681496096426E-2</v>
      </c>
    </row>
    <row r="243" spans="1:10" ht="11.25" customHeight="1" x14ac:dyDescent="0.2">
      <c r="A243" s="49" t="s">
        <v>37</v>
      </c>
      <c r="B243" s="40">
        <v>0</v>
      </c>
      <c r="C243" s="40">
        <v>0</v>
      </c>
      <c r="D243" s="40">
        <v>1970.14194</v>
      </c>
      <c r="E243" s="40">
        <v>1891.1275781601248</v>
      </c>
      <c r="F243" s="40">
        <v>126.32840999999999</v>
      </c>
      <c r="G243" s="40">
        <v>114.42675880960317</v>
      </c>
      <c r="H243" s="41">
        <v>-4.0105923454365699E-2</v>
      </c>
      <c r="I243" s="41">
        <v>-9.4211992301627467E-2</v>
      </c>
      <c r="J243" s="41">
        <v>-4.3366228876202562E-2</v>
      </c>
    </row>
    <row r="244" spans="1:10" ht="11.25" customHeight="1" x14ac:dyDescent="0.2">
      <c r="A244" s="50">
        <v>44440</v>
      </c>
      <c r="B244" s="40">
        <v>0</v>
      </c>
      <c r="C244" s="40">
        <v>0</v>
      </c>
      <c r="D244" s="40">
        <v>250.71132000000003</v>
      </c>
      <c r="E244" s="40">
        <v>240.6563109909371</v>
      </c>
      <c r="F244" s="40">
        <v>16.075980000000001</v>
      </c>
      <c r="G244" s="40">
        <v>14.561429895998884</v>
      </c>
      <c r="H244" s="41">
        <v>-4.0105923454365477E-2</v>
      </c>
      <c r="I244" s="41">
        <v>-9.4211992301627467E-2</v>
      </c>
      <c r="J244" s="41">
        <v>-4.3366228876202229E-2</v>
      </c>
    </row>
    <row r="245" spans="1:10" ht="11.25" customHeight="1" x14ac:dyDescent="0.2">
      <c r="A245" s="50">
        <v>44470</v>
      </c>
      <c r="B245" s="40">
        <v>0</v>
      </c>
      <c r="C245" s="40">
        <v>0</v>
      </c>
      <c r="D245" s="40">
        <v>97.290959999999998</v>
      </c>
      <c r="E245" s="40">
        <v>93.389016205438267</v>
      </c>
      <c r="F245" s="40">
        <v>6.2384399999999998</v>
      </c>
      <c r="G245" s="40">
        <v>5.6507041387458354</v>
      </c>
      <c r="H245" s="41">
        <v>-4.0105923454365477E-2</v>
      </c>
      <c r="I245" s="41">
        <v>-9.4211992301627356E-2</v>
      </c>
      <c r="J245" s="41">
        <v>-4.3366228876202229E-2</v>
      </c>
    </row>
    <row r="246" spans="1:10" ht="11.25" customHeight="1" x14ac:dyDescent="0.2">
      <c r="A246" s="50">
        <v>44501</v>
      </c>
      <c r="B246" s="40">
        <v>0</v>
      </c>
      <c r="C246" s="40">
        <v>0</v>
      </c>
      <c r="D246" s="40">
        <v>269.42111999999997</v>
      </c>
      <c r="E246" s="40">
        <v>258.61573718429059</v>
      </c>
      <c r="F246" s="40">
        <v>17.275679999999998</v>
      </c>
      <c r="G246" s="40">
        <v>15.64810376883462</v>
      </c>
      <c r="H246" s="41">
        <v>-4.0105923454365366E-2</v>
      </c>
      <c r="I246" s="41">
        <v>-9.4211992301627356E-2</v>
      </c>
      <c r="J246" s="41">
        <v>-4.3366228876202229E-2</v>
      </c>
    </row>
    <row r="247" spans="1:10" ht="11.25" customHeight="1" x14ac:dyDescent="0.2">
      <c r="A247" s="50">
        <v>44531</v>
      </c>
      <c r="B247" s="40">
        <v>0</v>
      </c>
      <c r="C247" s="40">
        <v>0</v>
      </c>
      <c r="D247" s="40">
        <v>97.290959999999998</v>
      </c>
      <c r="E247" s="40">
        <v>93.389016205438267</v>
      </c>
      <c r="F247" s="40">
        <v>6.2384399999999998</v>
      </c>
      <c r="G247" s="40">
        <v>5.6507041387458354</v>
      </c>
      <c r="H247" s="41">
        <v>-4.0105923454365477E-2</v>
      </c>
      <c r="I247" s="41">
        <v>-9.4211992301627356E-2</v>
      </c>
      <c r="J247" s="41">
        <v>-4.3366228876202229E-2</v>
      </c>
    </row>
    <row r="248" spans="1:10" ht="11.25" customHeight="1" x14ac:dyDescent="0.2">
      <c r="A248" s="50">
        <v>44562</v>
      </c>
      <c r="B248" s="40">
        <v>0</v>
      </c>
      <c r="C248" s="40">
        <v>0</v>
      </c>
      <c r="D248" s="40">
        <v>136.58153999999999</v>
      </c>
      <c r="E248" s="40">
        <v>131.10381121148063</v>
      </c>
      <c r="F248" s="40">
        <v>8.7578099999999992</v>
      </c>
      <c r="G248" s="40">
        <v>7.9327192717008836</v>
      </c>
      <c r="H248" s="41">
        <v>-4.0105923454365477E-2</v>
      </c>
      <c r="I248" s="41">
        <v>-9.4211992301627467E-2</v>
      </c>
      <c r="J248" s="41">
        <v>-4.3366228876202451E-2</v>
      </c>
    </row>
    <row r="249" spans="1:10" ht="11.25" customHeight="1" x14ac:dyDescent="0.2">
      <c r="A249" s="50">
        <v>44593</v>
      </c>
      <c r="B249" s="40">
        <v>0</v>
      </c>
      <c r="C249" s="40">
        <v>0</v>
      </c>
      <c r="D249" s="40">
        <v>134.71055999999999</v>
      </c>
      <c r="E249" s="40">
        <v>129.3078685921453</v>
      </c>
      <c r="F249" s="40">
        <v>8.6378399999999989</v>
      </c>
      <c r="G249" s="40">
        <v>7.8240518844173099</v>
      </c>
      <c r="H249" s="41">
        <v>-4.0105923454365366E-2</v>
      </c>
      <c r="I249" s="41">
        <v>-9.4211992301627356E-2</v>
      </c>
      <c r="J249" s="41">
        <v>-4.3366228876202229E-2</v>
      </c>
    </row>
    <row r="250" spans="1:10" ht="11.25" customHeight="1" x14ac:dyDescent="0.2">
      <c r="A250" s="50">
        <v>44621</v>
      </c>
      <c r="B250" s="40">
        <v>0</v>
      </c>
      <c r="C250" s="40">
        <v>0</v>
      </c>
      <c r="D250" s="40">
        <v>136.58153999999999</v>
      </c>
      <c r="E250" s="40">
        <v>131.10381121148063</v>
      </c>
      <c r="F250" s="40">
        <v>8.7578099999999992</v>
      </c>
      <c r="G250" s="40">
        <v>7.9327192717008836</v>
      </c>
      <c r="H250" s="41">
        <v>-4.0105923454365477E-2</v>
      </c>
      <c r="I250" s="41">
        <v>-9.4211992301627467E-2</v>
      </c>
      <c r="J250" s="41">
        <v>-4.3366228876202451E-2</v>
      </c>
    </row>
    <row r="251" spans="1:10" ht="11.25" customHeight="1" x14ac:dyDescent="0.2">
      <c r="A251" s="50">
        <v>44652</v>
      </c>
      <c r="B251" s="40">
        <v>0</v>
      </c>
      <c r="C251" s="40">
        <v>0</v>
      </c>
      <c r="D251" s="40">
        <v>192.71093999999999</v>
      </c>
      <c r="E251" s="40">
        <v>184.98208979154117</v>
      </c>
      <c r="F251" s="40">
        <v>12.356909999999999</v>
      </c>
      <c r="G251" s="40">
        <v>11.192740890208096</v>
      </c>
      <c r="H251" s="41">
        <v>-4.0105923454365477E-2</v>
      </c>
      <c r="I251" s="41">
        <v>-9.4211992301627467E-2</v>
      </c>
      <c r="J251" s="41">
        <v>-4.336622887620234E-2</v>
      </c>
    </row>
    <row r="252" spans="1:10" ht="11.25" customHeight="1" x14ac:dyDescent="0.2">
      <c r="A252" s="50">
        <v>44682</v>
      </c>
      <c r="B252" s="40">
        <v>0</v>
      </c>
      <c r="C252" s="40">
        <v>0</v>
      </c>
      <c r="D252" s="40">
        <v>59.871360000000003</v>
      </c>
      <c r="E252" s="40">
        <v>57.470163818731244</v>
      </c>
      <c r="F252" s="40">
        <v>3.8390400000000002</v>
      </c>
      <c r="G252" s="40">
        <v>3.4773563930743605</v>
      </c>
      <c r="H252" s="41">
        <v>-4.0105923454365477E-2</v>
      </c>
      <c r="I252" s="41">
        <v>-9.4211992301627467E-2</v>
      </c>
      <c r="J252" s="41">
        <v>-4.3366228876202229E-2</v>
      </c>
    </row>
    <row r="253" spans="1:10" ht="11.25" customHeight="1" x14ac:dyDescent="0.2">
      <c r="A253" s="50">
        <v>44713</v>
      </c>
      <c r="B253" s="40">
        <v>0</v>
      </c>
      <c r="C253" s="40">
        <v>0</v>
      </c>
      <c r="D253" s="40">
        <v>172.13015999999999</v>
      </c>
      <c r="E253" s="40">
        <v>165.22672097885231</v>
      </c>
      <c r="F253" s="40">
        <v>11.037239999999999</v>
      </c>
      <c r="G253" s="40">
        <v>9.9973996300887862</v>
      </c>
      <c r="H253" s="41">
        <v>-4.0105923454365477E-2</v>
      </c>
      <c r="I253" s="41">
        <v>-9.4211992301627245E-2</v>
      </c>
      <c r="J253" s="41">
        <v>-4.336622887620234E-2</v>
      </c>
    </row>
    <row r="254" spans="1:10" ht="11.25" customHeight="1" x14ac:dyDescent="0.2">
      <c r="A254" s="50">
        <v>44743</v>
      </c>
      <c r="B254" s="40">
        <v>0</v>
      </c>
      <c r="C254" s="40">
        <v>0</v>
      </c>
      <c r="D254" s="40">
        <v>211.42074</v>
      </c>
      <c r="E254" s="40">
        <v>202.94151598489469</v>
      </c>
      <c r="F254" s="40">
        <v>13.556609999999999</v>
      </c>
      <c r="G254" s="40">
        <v>12.279414763043835</v>
      </c>
      <c r="H254" s="41">
        <v>-4.0105923454365477E-2</v>
      </c>
      <c r="I254" s="41">
        <v>-9.4211992301627356E-2</v>
      </c>
      <c r="J254" s="41">
        <v>-4.336622887620234E-2</v>
      </c>
    </row>
    <row r="255" spans="1:10" ht="11.25" customHeight="1" x14ac:dyDescent="0.2">
      <c r="A255" s="50">
        <v>44774</v>
      </c>
      <c r="B255" s="40">
        <v>0</v>
      </c>
      <c r="C255" s="40">
        <v>0</v>
      </c>
      <c r="D255" s="40">
        <v>211.42074</v>
      </c>
      <c r="E255" s="40">
        <v>202.94151598489469</v>
      </c>
      <c r="F255" s="40">
        <v>13.556609999999999</v>
      </c>
      <c r="G255" s="40">
        <v>12.279414763043835</v>
      </c>
      <c r="H255" s="41">
        <v>-4.0105923454365477E-2</v>
      </c>
      <c r="I255" s="41">
        <v>-9.4211992301627356E-2</v>
      </c>
      <c r="J255" s="41">
        <v>-4.336622887620234E-2</v>
      </c>
    </row>
    <row r="256" spans="1:10" ht="11.25" customHeight="1" x14ac:dyDescent="0.2">
      <c r="A256" s="44" t="s">
        <v>23</v>
      </c>
      <c r="B256" s="40">
        <v>0</v>
      </c>
      <c r="C256" s="40">
        <v>0</v>
      </c>
      <c r="D256" s="40">
        <v>1946495.2316171993</v>
      </c>
      <c r="E256" s="40">
        <v>1963156.5968042421</v>
      </c>
      <c r="F256" s="40">
        <v>383412.19738139992</v>
      </c>
      <c r="G256" s="40">
        <v>347290.17039335344</v>
      </c>
      <c r="H256" s="41">
        <v>8.5596742886446808E-3</v>
      </c>
      <c r="I256" s="41">
        <v>-9.4211992301627245E-2</v>
      </c>
      <c r="J256" s="41">
        <v>-8.3525472123017197E-3</v>
      </c>
    </row>
    <row r="257" spans="1:10" ht="11.25" customHeight="1" x14ac:dyDescent="0.2">
      <c r="A257" s="45" t="s">
        <v>41</v>
      </c>
      <c r="B257" s="40">
        <v>0</v>
      </c>
      <c r="C257" s="40">
        <v>0</v>
      </c>
      <c r="D257" s="40">
        <v>728838.95771999995</v>
      </c>
      <c r="E257" s="40">
        <v>735077.58180695819</v>
      </c>
      <c r="F257" s="40">
        <v>143563.54014000003</v>
      </c>
      <c r="G257" s="40">
        <v>130038.13300153594</v>
      </c>
      <c r="H257" s="41">
        <v>8.5596742886444588E-3</v>
      </c>
      <c r="I257" s="41">
        <v>-9.4211992301627689E-2</v>
      </c>
      <c r="J257" s="41">
        <v>-8.3525472123018307E-3</v>
      </c>
    </row>
    <row r="258" spans="1:10" ht="11.25" customHeight="1" x14ac:dyDescent="0.2">
      <c r="A258" s="46" t="s">
        <v>25</v>
      </c>
      <c r="B258" s="40">
        <v>0</v>
      </c>
      <c r="C258" s="40">
        <v>0</v>
      </c>
      <c r="D258" s="40">
        <v>728838.95771999995</v>
      </c>
      <c r="E258" s="40">
        <v>735077.58180695819</v>
      </c>
      <c r="F258" s="40">
        <v>143563.54014000003</v>
      </c>
      <c r="G258" s="40">
        <v>130038.13300153594</v>
      </c>
      <c r="H258" s="41">
        <v>8.5596742886444588E-3</v>
      </c>
      <c r="I258" s="41">
        <v>-9.4211992301627689E-2</v>
      </c>
      <c r="J258" s="41">
        <v>-8.3525472123018307E-3</v>
      </c>
    </row>
    <row r="259" spans="1:10" ht="11.25" customHeight="1" x14ac:dyDescent="0.2">
      <c r="A259" s="47" t="s">
        <v>25</v>
      </c>
      <c r="B259" s="40">
        <v>0</v>
      </c>
      <c r="C259" s="40">
        <v>0</v>
      </c>
      <c r="D259" s="40">
        <v>728838.95771999995</v>
      </c>
      <c r="E259" s="40">
        <v>735077.58180695819</v>
      </c>
      <c r="F259" s="40">
        <v>143563.54014000003</v>
      </c>
      <c r="G259" s="40">
        <v>130038.13300153594</v>
      </c>
      <c r="H259" s="41">
        <v>8.5596742886444588E-3</v>
      </c>
      <c r="I259" s="41">
        <v>-9.4211992301627689E-2</v>
      </c>
      <c r="J259" s="41">
        <v>-8.3525472123018307E-3</v>
      </c>
    </row>
    <row r="260" spans="1:10" ht="11.25" customHeight="1" x14ac:dyDescent="0.2">
      <c r="A260" s="48" t="s">
        <v>25</v>
      </c>
      <c r="B260" s="40">
        <v>0</v>
      </c>
      <c r="C260" s="40">
        <v>0</v>
      </c>
      <c r="D260" s="40">
        <v>728838.95771999995</v>
      </c>
      <c r="E260" s="40">
        <v>735077.58180695819</v>
      </c>
      <c r="F260" s="40">
        <v>143563.54014000003</v>
      </c>
      <c r="G260" s="40">
        <v>130038.13300153594</v>
      </c>
      <c r="H260" s="41">
        <v>8.5596742886444588E-3</v>
      </c>
      <c r="I260" s="41">
        <v>-9.4211992301627689E-2</v>
      </c>
      <c r="J260" s="41">
        <v>-8.3525472123018307E-3</v>
      </c>
    </row>
    <row r="261" spans="1:10" ht="11.25" customHeight="1" x14ac:dyDescent="0.2">
      <c r="A261" s="49" t="s">
        <v>25</v>
      </c>
      <c r="B261" s="40">
        <v>0</v>
      </c>
      <c r="C261" s="40">
        <v>0</v>
      </c>
      <c r="D261" s="40">
        <v>728838.95771999995</v>
      </c>
      <c r="E261" s="40">
        <v>735077.58180695819</v>
      </c>
      <c r="F261" s="40">
        <v>143563.54014000003</v>
      </c>
      <c r="G261" s="40">
        <v>130038.13300153594</v>
      </c>
      <c r="H261" s="41">
        <v>8.5596742886444588E-3</v>
      </c>
      <c r="I261" s="41">
        <v>-9.4211992301627689E-2</v>
      </c>
      <c r="J261" s="41">
        <v>-8.3525472123018307E-3</v>
      </c>
    </row>
    <row r="262" spans="1:10" ht="11.25" customHeight="1" x14ac:dyDescent="0.2">
      <c r="A262" s="50">
        <v>44440</v>
      </c>
      <c r="B262" s="40">
        <v>0</v>
      </c>
      <c r="C262" s="40">
        <v>0</v>
      </c>
      <c r="D262" s="40">
        <v>53061.307199999996</v>
      </c>
      <c r="E262" s="40">
        <v>53515.494706961712</v>
      </c>
      <c r="F262" s="40">
        <v>10451.786400000001</v>
      </c>
      <c r="G262" s="40">
        <v>9467.1027801449472</v>
      </c>
      <c r="H262" s="41">
        <v>8.5596742886446808E-3</v>
      </c>
      <c r="I262" s="41">
        <v>-9.4211992301627356E-2</v>
      </c>
      <c r="J262" s="41">
        <v>-8.3525472123017197E-3</v>
      </c>
    </row>
    <row r="263" spans="1:10" ht="11.25" customHeight="1" x14ac:dyDescent="0.2">
      <c r="A263" s="50">
        <v>44470</v>
      </c>
      <c r="B263" s="40">
        <v>0</v>
      </c>
      <c r="C263" s="40">
        <v>0</v>
      </c>
      <c r="D263" s="40">
        <v>59177.48771999999</v>
      </c>
      <c r="E263" s="40">
        <v>59684.027740103455</v>
      </c>
      <c r="F263" s="40">
        <v>11656.52514</v>
      </c>
      <c r="G263" s="40">
        <v>10558.340683246593</v>
      </c>
      <c r="H263" s="41">
        <v>8.5596742886446808E-3</v>
      </c>
      <c r="I263" s="41">
        <v>-9.4211992301627356E-2</v>
      </c>
      <c r="J263" s="41">
        <v>-8.3525472123017197E-3</v>
      </c>
    </row>
    <row r="264" spans="1:10" ht="11.25" customHeight="1" x14ac:dyDescent="0.2">
      <c r="A264" s="50">
        <v>44501</v>
      </c>
      <c r="B264" s="40">
        <v>0</v>
      </c>
      <c r="C264" s="40">
        <v>0</v>
      </c>
      <c r="D264" s="40">
        <v>60712.92798</v>
      </c>
      <c r="E264" s="40">
        <v>61232.610868618729</v>
      </c>
      <c r="F264" s="40">
        <v>11958.969510000001</v>
      </c>
      <c r="G264" s="40">
        <v>10832.291166588484</v>
      </c>
      <c r="H264" s="41">
        <v>8.5596742886444588E-3</v>
      </c>
      <c r="I264" s="41">
        <v>-9.4211992301627356E-2</v>
      </c>
      <c r="J264" s="41">
        <v>-8.3525472123019417E-3</v>
      </c>
    </row>
    <row r="265" spans="1:10" ht="11.25" customHeight="1" x14ac:dyDescent="0.2">
      <c r="A265" s="50">
        <v>44531</v>
      </c>
      <c r="B265" s="40">
        <v>0</v>
      </c>
      <c r="C265" s="40">
        <v>0</v>
      </c>
      <c r="D265" s="40">
        <v>60387.689939999997</v>
      </c>
      <c r="E265" s="40">
        <v>60904.58889693005</v>
      </c>
      <c r="F265" s="40">
        <v>11894.90553</v>
      </c>
      <c r="G265" s="40">
        <v>10774.262781779054</v>
      </c>
      <c r="H265" s="41">
        <v>8.5596742886444588E-3</v>
      </c>
      <c r="I265" s="41">
        <v>-9.4211992301627467E-2</v>
      </c>
      <c r="J265" s="41">
        <v>-8.3525472123019417E-3</v>
      </c>
    </row>
    <row r="266" spans="1:10" ht="11.25" customHeight="1" x14ac:dyDescent="0.2">
      <c r="A266" s="50">
        <v>44562</v>
      </c>
      <c r="B266" s="40">
        <v>0</v>
      </c>
      <c r="C266" s="40">
        <v>0</v>
      </c>
      <c r="D266" s="40">
        <v>65004.973799999992</v>
      </c>
      <c r="E266" s="40">
        <v>65561.39520286987</v>
      </c>
      <c r="F266" s="40">
        <v>12804.398099999999</v>
      </c>
      <c r="G266" s="40">
        <v>11598.070244775829</v>
      </c>
      <c r="H266" s="41">
        <v>8.5596742886446808E-3</v>
      </c>
      <c r="I266" s="41">
        <v>-9.4211992301627245E-2</v>
      </c>
      <c r="J266" s="41">
        <v>-8.3525472123018307E-3</v>
      </c>
    </row>
    <row r="267" spans="1:10" ht="11.25" customHeight="1" x14ac:dyDescent="0.2">
      <c r="A267" s="50">
        <v>44593</v>
      </c>
      <c r="B267" s="40">
        <v>0</v>
      </c>
      <c r="C267" s="40">
        <v>0</v>
      </c>
      <c r="D267" s="40">
        <v>72687.047579999999</v>
      </c>
      <c r="E267" s="40">
        <v>73309.225032287999</v>
      </c>
      <c r="F267" s="40">
        <v>14317.57971</v>
      </c>
      <c r="G267" s="40">
        <v>12968.692000583542</v>
      </c>
      <c r="H267" s="41">
        <v>8.5596742886444588E-3</v>
      </c>
      <c r="I267" s="41">
        <v>-9.4211992301627467E-2</v>
      </c>
      <c r="J267" s="41">
        <v>-8.3525472123019417E-3</v>
      </c>
    </row>
    <row r="268" spans="1:10" ht="11.25" customHeight="1" x14ac:dyDescent="0.2">
      <c r="A268" s="50">
        <v>44621</v>
      </c>
      <c r="B268" s="40">
        <v>0</v>
      </c>
      <c r="C268" s="40">
        <v>0</v>
      </c>
      <c r="D268" s="40">
        <v>69906.079620000004</v>
      </c>
      <c r="E268" s="40">
        <v>70504.452892343252</v>
      </c>
      <c r="F268" s="40">
        <v>13769.796690000001</v>
      </c>
      <c r="G268" s="40">
        <v>12472.516710246746</v>
      </c>
      <c r="H268" s="41">
        <v>8.5596742886444588E-3</v>
      </c>
      <c r="I268" s="41">
        <v>-9.4211992301627467E-2</v>
      </c>
      <c r="J268" s="41">
        <v>-8.3525472123019417E-3</v>
      </c>
    </row>
    <row r="269" spans="1:10" ht="11.25" customHeight="1" x14ac:dyDescent="0.2">
      <c r="A269" s="50">
        <v>44652</v>
      </c>
      <c r="B269" s="40">
        <v>0</v>
      </c>
      <c r="C269" s="40">
        <v>0</v>
      </c>
      <c r="D269" s="40">
        <v>59450.955659999992</v>
      </c>
      <c r="E269" s="40">
        <v>59959.836476598241</v>
      </c>
      <c r="F269" s="40">
        <v>11710.391670000001</v>
      </c>
      <c r="G269" s="40">
        <v>10607.132340136919</v>
      </c>
      <c r="H269" s="41">
        <v>8.5596742886444588E-3</v>
      </c>
      <c r="I269" s="41">
        <v>-9.4211992301627356E-2</v>
      </c>
      <c r="J269" s="41">
        <v>-8.3525472123018307E-3</v>
      </c>
    </row>
    <row r="270" spans="1:10" ht="11.25" customHeight="1" x14ac:dyDescent="0.2">
      <c r="A270" s="50">
        <v>44682</v>
      </c>
      <c r="B270" s="40">
        <v>0</v>
      </c>
      <c r="C270" s="40">
        <v>0</v>
      </c>
      <c r="D270" s="40">
        <v>57445.930139999997</v>
      </c>
      <c r="E270" s="40">
        <v>57937.64859120662</v>
      </c>
      <c r="F270" s="40">
        <v>11315.450430000001</v>
      </c>
      <c r="G270" s="40">
        <v>10249.399301199393</v>
      </c>
      <c r="H270" s="41">
        <v>8.5596742886444588E-3</v>
      </c>
      <c r="I270" s="41">
        <v>-9.4211992301627467E-2</v>
      </c>
      <c r="J270" s="41">
        <v>-8.3525472123018307E-3</v>
      </c>
    </row>
    <row r="271" spans="1:10" ht="11.25" customHeight="1" x14ac:dyDescent="0.2">
      <c r="A271" s="50">
        <v>44713</v>
      </c>
      <c r="B271" s="40">
        <v>0</v>
      </c>
      <c r="C271" s="40">
        <v>0</v>
      </c>
      <c r="D271" s="40">
        <v>60511.329119999995</v>
      </c>
      <c r="E271" s="40">
        <v>61029.286388040164</v>
      </c>
      <c r="F271" s="40">
        <v>11919.259440000002</v>
      </c>
      <c r="G271" s="40">
        <v>10796.322261397621</v>
      </c>
      <c r="H271" s="41">
        <v>8.5596742886444588E-3</v>
      </c>
      <c r="I271" s="41">
        <v>-9.4211992301627467E-2</v>
      </c>
      <c r="J271" s="41">
        <v>-8.3525472123020528E-3</v>
      </c>
    </row>
    <row r="272" spans="1:10" ht="11.25" customHeight="1" x14ac:dyDescent="0.2">
      <c r="A272" s="50">
        <v>44743</v>
      </c>
      <c r="B272" s="40">
        <v>0</v>
      </c>
      <c r="C272" s="40">
        <v>0</v>
      </c>
      <c r="D272" s="40">
        <v>55246.614479999997</v>
      </c>
      <c r="E272" s="40">
        <v>55719.507505499103</v>
      </c>
      <c r="F272" s="40">
        <v>10882.23876</v>
      </c>
      <c r="G272" s="40">
        <v>9857.0013657184081</v>
      </c>
      <c r="H272" s="41">
        <v>8.5596742886444588E-3</v>
      </c>
      <c r="I272" s="41">
        <v>-9.4211992301627467E-2</v>
      </c>
      <c r="J272" s="41">
        <v>-8.3525472123020528E-3</v>
      </c>
    </row>
    <row r="273" spans="1:10" ht="11.25" customHeight="1" x14ac:dyDescent="0.2">
      <c r="A273" s="50">
        <v>44774</v>
      </c>
      <c r="B273" s="40">
        <v>0</v>
      </c>
      <c r="C273" s="40">
        <v>0</v>
      </c>
      <c r="D273" s="40">
        <v>55246.614479999997</v>
      </c>
      <c r="E273" s="40">
        <v>55719.507505499103</v>
      </c>
      <c r="F273" s="40">
        <v>10882.23876</v>
      </c>
      <c r="G273" s="40">
        <v>9857.0013657184081</v>
      </c>
      <c r="H273" s="41">
        <v>8.5596742886444588E-3</v>
      </c>
      <c r="I273" s="41">
        <v>-9.4211992301627467E-2</v>
      </c>
      <c r="J273" s="41">
        <v>-8.3525472123020528E-3</v>
      </c>
    </row>
    <row r="274" spans="1:10" ht="11.25" customHeight="1" x14ac:dyDescent="0.2">
      <c r="A274" s="45" t="s">
        <v>51</v>
      </c>
      <c r="B274" s="40">
        <v>0</v>
      </c>
      <c r="C274" s="40">
        <v>0</v>
      </c>
      <c r="D274" s="40">
        <v>2287.0202999999997</v>
      </c>
      <c r="E274" s="40">
        <v>2306.5964488595177</v>
      </c>
      <c r="F274" s="40">
        <v>450.48734999999999</v>
      </c>
      <c r="G274" s="40">
        <v>408.04603924981944</v>
      </c>
      <c r="H274" s="41">
        <v>8.5596742886444588E-3</v>
      </c>
      <c r="I274" s="41">
        <v>-9.4211992301627467E-2</v>
      </c>
      <c r="J274" s="41">
        <v>-8.3525472123018307E-3</v>
      </c>
    </row>
    <row r="275" spans="1:10" ht="11.25" customHeight="1" x14ac:dyDescent="0.2">
      <c r="A275" s="46" t="s">
        <v>25</v>
      </c>
      <c r="B275" s="40">
        <v>0</v>
      </c>
      <c r="C275" s="40">
        <v>0</v>
      </c>
      <c r="D275" s="40">
        <v>2287.0202999999997</v>
      </c>
      <c r="E275" s="40">
        <v>2306.5964488595177</v>
      </c>
      <c r="F275" s="40">
        <v>450.48734999999999</v>
      </c>
      <c r="G275" s="40">
        <v>408.04603924981944</v>
      </c>
      <c r="H275" s="41">
        <v>8.5596742886444588E-3</v>
      </c>
      <c r="I275" s="41">
        <v>-9.4211992301627467E-2</v>
      </c>
      <c r="J275" s="41">
        <v>-8.3525472123018307E-3</v>
      </c>
    </row>
    <row r="276" spans="1:10" ht="11.25" customHeight="1" x14ac:dyDescent="0.2">
      <c r="A276" s="47" t="s">
        <v>25</v>
      </c>
      <c r="B276" s="40">
        <v>0</v>
      </c>
      <c r="C276" s="40">
        <v>0</v>
      </c>
      <c r="D276" s="40">
        <v>2287.0202999999997</v>
      </c>
      <c r="E276" s="40">
        <v>2306.5964488595177</v>
      </c>
      <c r="F276" s="40">
        <v>450.48734999999999</v>
      </c>
      <c r="G276" s="40">
        <v>408.04603924981944</v>
      </c>
      <c r="H276" s="41">
        <v>8.5596742886444588E-3</v>
      </c>
      <c r="I276" s="41">
        <v>-9.4211992301627467E-2</v>
      </c>
      <c r="J276" s="41">
        <v>-8.3525472123018307E-3</v>
      </c>
    </row>
    <row r="277" spans="1:10" ht="11.25" customHeight="1" x14ac:dyDescent="0.2">
      <c r="A277" s="48" t="s">
        <v>25</v>
      </c>
      <c r="B277" s="40">
        <v>0</v>
      </c>
      <c r="C277" s="40">
        <v>0</v>
      </c>
      <c r="D277" s="40">
        <v>2287.0202999999997</v>
      </c>
      <c r="E277" s="40">
        <v>2306.5964488595177</v>
      </c>
      <c r="F277" s="40">
        <v>450.48734999999999</v>
      </c>
      <c r="G277" s="40">
        <v>408.04603924981944</v>
      </c>
      <c r="H277" s="41">
        <v>8.5596742886444588E-3</v>
      </c>
      <c r="I277" s="41">
        <v>-9.4211992301627467E-2</v>
      </c>
      <c r="J277" s="41">
        <v>-8.3525472123018307E-3</v>
      </c>
    </row>
    <row r="278" spans="1:10" ht="11.25" customHeight="1" x14ac:dyDescent="0.2">
      <c r="A278" s="49" t="s">
        <v>25</v>
      </c>
      <c r="B278" s="40">
        <v>0</v>
      </c>
      <c r="C278" s="40">
        <v>0</v>
      </c>
      <c r="D278" s="40">
        <v>2287.0202999999997</v>
      </c>
      <c r="E278" s="40">
        <v>2306.5964488595177</v>
      </c>
      <c r="F278" s="40">
        <v>450.48734999999999</v>
      </c>
      <c r="G278" s="40">
        <v>408.04603924981944</v>
      </c>
      <c r="H278" s="41">
        <v>8.5596742886444588E-3</v>
      </c>
      <c r="I278" s="41">
        <v>-9.4211992301627467E-2</v>
      </c>
      <c r="J278" s="41">
        <v>-8.3525472123018307E-3</v>
      </c>
    </row>
    <row r="279" spans="1:10" ht="11.25" customHeight="1" x14ac:dyDescent="0.2">
      <c r="A279" s="50">
        <v>44440</v>
      </c>
      <c r="B279" s="40">
        <v>0</v>
      </c>
      <c r="C279" s="40">
        <v>0</v>
      </c>
      <c r="D279" s="40">
        <v>2287.0202999999997</v>
      </c>
      <c r="E279" s="40">
        <v>2306.5964488595177</v>
      </c>
      <c r="F279" s="40">
        <v>450.48734999999999</v>
      </c>
      <c r="G279" s="40">
        <v>408.04603924981944</v>
      </c>
      <c r="H279" s="41">
        <v>8.5596742886444588E-3</v>
      </c>
      <c r="I279" s="41">
        <v>-9.4211992301627467E-2</v>
      </c>
      <c r="J279" s="41">
        <v>-8.3525472123018307E-3</v>
      </c>
    </row>
    <row r="280" spans="1:10" ht="11.25" customHeight="1" x14ac:dyDescent="0.2">
      <c r="A280" s="45" t="s">
        <v>34</v>
      </c>
      <c r="B280" s="40">
        <v>0</v>
      </c>
      <c r="C280" s="40">
        <v>0</v>
      </c>
      <c r="D280" s="40">
        <v>975680.62169999979</v>
      </c>
      <c r="E280" s="40">
        <v>984032.13003149407</v>
      </c>
      <c r="F280" s="40">
        <v>192185.34165000002</v>
      </c>
      <c r="G280" s="40">
        <v>174079.17772198457</v>
      </c>
      <c r="H280" s="41">
        <v>8.5596742886442367E-3</v>
      </c>
      <c r="I280" s="41">
        <v>-9.4211992301627578E-2</v>
      </c>
      <c r="J280" s="41">
        <v>-8.3525472123021638E-3</v>
      </c>
    </row>
    <row r="281" spans="1:10" ht="11.25" customHeight="1" x14ac:dyDescent="0.2">
      <c r="A281" s="46" t="s">
        <v>25</v>
      </c>
      <c r="B281" s="40">
        <v>0</v>
      </c>
      <c r="C281" s="40">
        <v>0</v>
      </c>
      <c r="D281" s="40">
        <v>975680.62169999979</v>
      </c>
      <c r="E281" s="40">
        <v>984032.13003149407</v>
      </c>
      <c r="F281" s="40">
        <v>192185.34165000002</v>
      </c>
      <c r="G281" s="40">
        <v>174079.17772198457</v>
      </c>
      <c r="H281" s="41">
        <v>8.5596742886442367E-3</v>
      </c>
      <c r="I281" s="41">
        <v>-9.4211992301627578E-2</v>
      </c>
      <c r="J281" s="41">
        <v>-8.3525472123021638E-3</v>
      </c>
    </row>
    <row r="282" spans="1:10" ht="11.25" customHeight="1" x14ac:dyDescent="0.2">
      <c r="A282" s="47" t="s">
        <v>25</v>
      </c>
      <c r="B282" s="40">
        <v>0</v>
      </c>
      <c r="C282" s="40">
        <v>0</v>
      </c>
      <c r="D282" s="40">
        <v>975680.62169999979</v>
      </c>
      <c r="E282" s="40">
        <v>984032.13003149407</v>
      </c>
      <c r="F282" s="40">
        <v>192185.34165000002</v>
      </c>
      <c r="G282" s="40">
        <v>174079.17772198457</v>
      </c>
      <c r="H282" s="41">
        <v>8.5596742886442367E-3</v>
      </c>
      <c r="I282" s="41">
        <v>-9.4211992301627578E-2</v>
      </c>
      <c r="J282" s="41">
        <v>-8.3525472123021638E-3</v>
      </c>
    </row>
    <row r="283" spans="1:10" ht="11.25" customHeight="1" x14ac:dyDescent="0.2">
      <c r="A283" s="48" t="s">
        <v>25</v>
      </c>
      <c r="B283" s="40">
        <v>0</v>
      </c>
      <c r="C283" s="40">
        <v>0</v>
      </c>
      <c r="D283" s="40">
        <v>975680.62169999979</v>
      </c>
      <c r="E283" s="40">
        <v>984032.13003149407</v>
      </c>
      <c r="F283" s="40">
        <v>192185.34165000002</v>
      </c>
      <c r="G283" s="40">
        <v>174079.17772198457</v>
      </c>
      <c r="H283" s="41">
        <v>8.5596742886442367E-3</v>
      </c>
      <c r="I283" s="41">
        <v>-9.4211992301627578E-2</v>
      </c>
      <c r="J283" s="41">
        <v>-8.3525472123021638E-3</v>
      </c>
    </row>
    <row r="284" spans="1:10" ht="11.25" customHeight="1" x14ac:dyDescent="0.2">
      <c r="A284" s="49" t="s">
        <v>25</v>
      </c>
      <c r="B284" s="40">
        <v>0</v>
      </c>
      <c r="C284" s="40">
        <v>0</v>
      </c>
      <c r="D284" s="40">
        <v>975680.62169999979</v>
      </c>
      <c r="E284" s="40">
        <v>984032.13003149407</v>
      </c>
      <c r="F284" s="40">
        <v>192185.34165000002</v>
      </c>
      <c r="G284" s="40">
        <v>174079.17772198457</v>
      </c>
      <c r="H284" s="41">
        <v>8.5596742886442367E-3</v>
      </c>
      <c r="I284" s="41">
        <v>-9.4211992301627578E-2</v>
      </c>
      <c r="J284" s="41">
        <v>-8.3525472123021638E-3</v>
      </c>
    </row>
    <row r="285" spans="1:10" ht="11.25" customHeight="1" x14ac:dyDescent="0.2">
      <c r="A285" s="50">
        <v>44440</v>
      </c>
      <c r="B285" s="40">
        <v>0</v>
      </c>
      <c r="C285" s="40">
        <v>0</v>
      </c>
      <c r="D285" s="40">
        <v>83287.736879999997</v>
      </c>
      <c r="E285" s="40">
        <v>84000.652779931115</v>
      </c>
      <c r="F285" s="40">
        <v>16405.65756</v>
      </c>
      <c r="G285" s="40">
        <v>14860.047876254144</v>
      </c>
      <c r="H285" s="41">
        <v>8.5596742886444588E-3</v>
      </c>
      <c r="I285" s="41">
        <v>-9.4211992301627356E-2</v>
      </c>
      <c r="J285" s="41">
        <v>-8.3525472123019417E-3</v>
      </c>
    </row>
    <row r="286" spans="1:10" ht="11.25" customHeight="1" x14ac:dyDescent="0.2">
      <c r="A286" s="50">
        <v>44470</v>
      </c>
      <c r="B286" s="40">
        <v>0</v>
      </c>
      <c r="C286" s="40">
        <v>0</v>
      </c>
      <c r="D286" s="40">
        <v>96765.625619999977</v>
      </c>
      <c r="E286" s="40">
        <v>97593.907857644095</v>
      </c>
      <c r="F286" s="40">
        <v>19060.473689999999</v>
      </c>
      <c r="G286" s="40">
        <v>17264.748489452348</v>
      </c>
      <c r="H286" s="41">
        <v>8.5596742886444588E-3</v>
      </c>
      <c r="I286" s="41">
        <v>-9.4211992301627356E-2</v>
      </c>
      <c r="J286" s="41">
        <v>-8.3525472123018307E-3</v>
      </c>
    </row>
    <row r="287" spans="1:10" ht="11.25" customHeight="1" x14ac:dyDescent="0.2">
      <c r="A287" s="50">
        <v>44501</v>
      </c>
      <c r="B287" s="40">
        <v>0</v>
      </c>
      <c r="C287" s="40">
        <v>0</v>
      </c>
      <c r="D287" s="40">
        <v>80557.320899999992</v>
      </c>
      <c r="E287" s="40">
        <v>81246.865328469794</v>
      </c>
      <c r="F287" s="40">
        <v>15867.832049999999</v>
      </c>
      <c r="G287" s="40">
        <v>14372.891979061882</v>
      </c>
      <c r="H287" s="41">
        <v>8.5596742886444588E-3</v>
      </c>
      <c r="I287" s="41">
        <v>-9.4211992301627467E-2</v>
      </c>
      <c r="J287" s="41">
        <v>-8.3525472123019417E-3</v>
      </c>
    </row>
    <row r="288" spans="1:10" ht="11.25" customHeight="1" x14ac:dyDescent="0.2">
      <c r="A288" s="50">
        <v>44531</v>
      </c>
      <c r="B288" s="40">
        <v>0</v>
      </c>
      <c r="C288" s="40">
        <v>0</v>
      </c>
      <c r="D288" s="40">
        <v>71993.937299999991</v>
      </c>
      <c r="E288" s="40">
        <v>72610.181954045082</v>
      </c>
      <c r="F288" s="40">
        <v>14181.05385</v>
      </c>
      <c r="G288" s="40">
        <v>12845.028513854837</v>
      </c>
      <c r="H288" s="41">
        <v>8.5596742886444588E-3</v>
      </c>
      <c r="I288" s="41">
        <v>-9.4211992301627356E-2</v>
      </c>
      <c r="J288" s="41">
        <v>-8.3525472123018307E-3</v>
      </c>
    </row>
    <row r="289" spans="1:10" ht="11.25" customHeight="1" x14ac:dyDescent="0.2">
      <c r="A289" s="50">
        <v>44562</v>
      </c>
      <c r="B289" s="40">
        <v>0</v>
      </c>
      <c r="C289" s="40">
        <v>0</v>
      </c>
      <c r="D289" s="40">
        <v>59296.25441999999</v>
      </c>
      <c r="E289" s="40">
        <v>59803.811044371789</v>
      </c>
      <c r="F289" s="40">
        <v>11679.91929</v>
      </c>
      <c r="G289" s="40">
        <v>10579.530823766891</v>
      </c>
      <c r="H289" s="41">
        <v>8.5596742886444588E-3</v>
      </c>
      <c r="I289" s="41">
        <v>-9.4211992301627356E-2</v>
      </c>
      <c r="J289" s="41">
        <v>-8.3525472123017197E-3</v>
      </c>
    </row>
    <row r="290" spans="1:10" ht="11.25" customHeight="1" x14ac:dyDescent="0.2">
      <c r="A290" s="50">
        <v>44593</v>
      </c>
      <c r="B290" s="40">
        <v>0</v>
      </c>
      <c r="C290" s="40">
        <v>0</v>
      </c>
      <c r="D290" s="40">
        <v>86387.852280000006</v>
      </c>
      <c r="E290" s="40">
        <v>87127.304158012339</v>
      </c>
      <c r="F290" s="40">
        <v>17016.30486</v>
      </c>
      <c r="G290" s="40">
        <v>15413.164877527535</v>
      </c>
      <c r="H290" s="41">
        <v>8.5596742886444588E-3</v>
      </c>
      <c r="I290" s="41">
        <v>-9.4211992301627356E-2</v>
      </c>
      <c r="J290" s="41">
        <v>-8.3525472123018307E-3</v>
      </c>
    </row>
    <row r="291" spans="1:10" ht="11.25" customHeight="1" x14ac:dyDescent="0.2">
      <c r="A291" s="50">
        <v>44621</v>
      </c>
      <c r="B291" s="40">
        <v>0</v>
      </c>
      <c r="C291" s="40">
        <v>0</v>
      </c>
      <c r="D291" s="40">
        <v>78664.971479999993</v>
      </c>
      <c r="E291" s="40">
        <v>79338.318013794298</v>
      </c>
      <c r="F291" s="40">
        <v>15495.08526</v>
      </c>
      <c r="G291" s="40">
        <v>14035.262406771821</v>
      </c>
      <c r="H291" s="41">
        <v>8.5596742886444588E-3</v>
      </c>
      <c r="I291" s="41">
        <v>-9.4211992301627356E-2</v>
      </c>
      <c r="J291" s="41">
        <v>-8.3525472123020528E-3</v>
      </c>
    </row>
    <row r="292" spans="1:10" ht="11.25" customHeight="1" x14ac:dyDescent="0.2">
      <c r="A292" s="50">
        <v>44652</v>
      </c>
      <c r="B292" s="40">
        <v>0</v>
      </c>
      <c r="C292" s="40">
        <v>0</v>
      </c>
      <c r="D292" s="40">
        <v>85286.062740000008</v>
      </c>
      <c r="E292" s="40">
        <v>86016.0836584153</v>
      </c>
      <c r="F292" s="40">
        <v>16799.279129999999</v>
      </c>
      <c r="G292" s="40">
        <v>15216.585573931552</v>
      </c>
      <c r="H292" s="41">
        <v>8.5596742886444588E-3</v>
      </c>
      <c r="I292" s="41">
        <v>-9.4211992301627245E-2</v>
      </c>
      <c r="J292" s="41">
        <v>-8.3525472123019417E-3</v>
      </c>
    </row>
    <row r="293" spans="1:10" ht="11.25" customHeight="1" x14ac:dyDescent="0.2">
      <c r="A293" s="50">
        <v>44682</v>
      </c>
      <c r="B293" s="40">
        <v>0</v>
      </c>
      <c r="C293" s="40">
        <v>0</v>
      </c>
      <c r="D293" s="40">
        <v>89286.977879999991</v>
      </c>
      <c r="E293" s="40">
        <v>90051.245328870194</v>
      </c>
      <c r="F293" s="40">
        <v>17587.362059999999</v>
      </c>
      <c r="G293" s="40">
        <v>15930.421640997347</v>
      </c>
      <c r="H293" s="41">
        <v>8.5596742886444588E-3</v>
      </c>
      <c r="I293" s="41">
        <v>-9.4211992301627356E-2</v>
      </c>
      <c r="J293" s="41">
        <v>-8.3525472123019417E-3</v>
      </c>
    </row>
    <row r="294" spans="1:10" ht="11.25" customHeight="1" x14ac:dyDescent="0.2">
      <c r="A294" s="50">
        <v>44713</v>
      </c>
      <c r="B294" s="40">
        <v>0</v>
      </c>
      <c r="C294" s="40">
        <v>0</v>
      </c>
      <c r="D294" s="40">
        <v>94657.668959999981</v>
      </c>
      <c r="E294" s="40">
        <v>95467.907775219923</v>
      </c>
      <c r="F294" s="40">
        <v>18645.257519999999</v>
      </c>
      <c r="G294" s="40">
        <v>16888.650662063901</v>
      </c>
      <c r="H294" s="41">
        <v>8.5596742886446808E-3</v>
      </c>
      <c r="I294" s="41">
        <v>-9.4211992301627245E-2</v>
      </c>
      <c r="J294" s="41">
        <v>-8.3525472123018307E-3</v>
      </c>
    </row>
    <row r="295" spans="1:10" ht="11.25" customHeight="1" x14ac:dyDescent="0.2">
      <c r="A295" s="50">
        <v>44743</v>
      </c>
      <c r="B295" s="40">
        <v>0</v>
      </c>
      <c r="C295" s="40">
        <v>0</v>
      </c>
      <c r="D295" s="40">
        <v>74748.106619999991</v>
      </c>
      <c r="E295" s="40">
        <v>75387.926066360058</v>
      </c>
      <c r="F295" s="40">
        <v>14723.55819</v>
      </c>
      <c r="G295" s="40">
        <v>13336.422439151158</v>
      </c>
      <c r="H295" s="41">
        <v>8.5596742886444588E-3</v>
      </c>
      <c r="I295" s="41">
        <v>-9.4211992301627356E-2</v>
      </c>
      <c r="J295" s="41">
        <v>-8.3525472123019417E-3</v>
      </c>
    </row>
    <row r="296" spans="1:10" ht="11.25" customHeight="1" x14ac:dyDescent="0.2">
      <c r="A296" s="50">
        <v>44774</v>
      </c>
      <c r="B296" s="40">
        <v>0</v>
      </c>
      <c r="C296" s="40">
        <v>0</v>
      </c>
      <c r="D296" s="40">
        <v>74748.106619999991</v>
      </c>
      <c r="E296" s="40">
        <v>75387.926066360058</v>
      </c>
      <c r="F296" s="40">
        <v>14723.55819</v>
      </c>
      <c r="G296" s="40">
        <v>13336.422439151158</v>
      </c>
      <c r="H296" s="41">
        <v>8.5596742886444588E-3</v>
      </c>
      <c r="I296" s="41">
        <v>-9.4211992301627356E-2</v>
      </c>
      <c r="J296" s="41">
        <v>-8.3525472123019417E-3</v>
      </c>
    </row>
    <row r="297" spans="1:10" ht="11.25" customHeight="1" x14ac:dyDescent="0.2">
      <c r="A297" s="45" t="s">
        <v>44</v>
      </c>
      <c r="B297" s="40">
        <v>0</v>
      </c>
      <c r="C297" s="40">
        <v>0</v>
      </c>
      <c r="D297" s="40">
        <v>204837.84108000001</v>
      </c>
      <c r="E297" s="40">
        <v>206591.18628163391</v>
      </c>
      <c r="F297" s="40">
        <v>40348.070460000003</v>
      </c>
      <c r="G297" s="40">
        <v>36546.798356436964</v>
      </c>
      <c r="H297" s="41">
        <v>8.5596742886444588E-3</v>
      </c>
      <c r="I297" s="41">
        <v>-9.4211992301627356E-2</v>
      </c>
      <c r="J297" s="41">
        <v>-8.3525472123019417E-3</v>
      </c>
    </row>
    <row r="298" spans="1:10" ht="11.25" customHeight="1" x14ac:dyDescent="0.2">
      <c r="A298" s="46" t="s">
        <v>25</v>
      </c>
      <c r="B298" s="40">
        <v>0</v>
      </c>
      <c r="C298" s="40">
        <v>0</v>
      </c>
      <c r="D298" s="40">
        <v>204837.84108000001</v>
      </c>
      <c r="E298" s="40">
        <v>206591.18628163391</v>
      </c>
      <c r="F298" s="40">
        <v>40348.070460000003</v>
      </c>
      <c r="G298" s="40">
        <v>36546.798356436964</v>
      </c>
      <c r="H298" s="41">
        <v>8.5596742886444588E-3</v>
      </c>
      <c r="I298" s="41">
        <v>-9.4211992301627356E-2</v>
      </c>
      <c r="J298" s="41">
        <v>-8.3525472123019417E-3</v>
      </c>
    </row>
    <row r="299" spans="1:10" ht="11.25" customHeight="1" x14ac:dyDescent="0.2">
      <c r="A299" s="47" t="s">
        <v>25</v>
      </c>
      <c r="B299" s="40">
        <v>0</v>
      </c>
      <c r="C299" s="40">
        <v>0</v>
      </c>
      <c r="D299" s="40">
        <v>204837.84108000001</v>
      </c>
      <c r="E299" s="40">
        <v>206591.18628163391</v>
      </c>
      <c r="F299" s="40">
        <v>40348.070460000003</v>
      </c>
      <c r="G299" s="40">
        <v>36546.798356436964</v>
      </c>
      <c r="H299" s="41">
        <v>8.5596742886444588E-3</v>
      </c>
      <c r="I299" s="41">
        <v>-9.4211992301627356E-2</v>
      </c>
      <c r="J299" s="41">
        <v>-8.3525472123019417E-3</v>
      </c>
    </row>
    <row r="300" spans="1:10" ht="11.25" customHeight="1" x14ac:dyDescent="0.2">
      <c r="A300" s="48" t="s">
        <v>25</v>
      </c>
      <c r="B300" s="40">
        <v>0</v>
      </c>
      <c r="C300" s="40">
        <v>0</v>
      </c>
      <c r="D300" s="40">
        <v>204837.84108000001</v>
      </c>
      <c r="E300" s="40">
        <v>206591.18628163391</v>
      </c>
      <c r="F300" s="40">
        <v>40348.070460000003</v>
      </c>
      <c r="G300" s="40">
        <v>36546.798356436964</v>
      </c>
      <c r="H300" s="41">
        <v>8.5596742886444588E-3</v>
      </c>
      <c r="I300" s="41">
        <v>-9.4211992301627356E-2</v>
      </c>
      <c r="J300" s="41">
        <v>-8.3525472123019417E-3</v>
      </c>
    </row>
    <row r="301" spans="1:10" ht="11.25" customHeight="1" x14ac:dyDescent="0.2">
      <c r="A301" s="49" t="s">
        <v>25</v>
      </c>
      <c r="B301" s="40">
        <v>0</v>
      </c>
      <c r="C301" s="40">
        <v>0</v>
      </c>
      <c r="D301" s="40">
        <v>204837.84108000001</v>
      </c>
      <c r="E301" s="40">
        <v>206591.18628163391</v>
      </c>
      <c r="F301" s="40">
        <v>40348.070460000003</v>
      </c>
      <c r="G301" s="40">
        <v>36546.798356436964</v>
      </c>
      <c r="H301" s="41">
        <v>8.5596742886444588E-3</v>
      </c>
      <c r="I301" s="41">
        <v>-9.4211992301627356E-2</v>
      </c>
      <c r="J301" s="41">
        <v>-8.3525472123019417E-3</v>
      </c>
    </row>
    <row r="302" spans="1:10" ht="11.25" customHeight="1" x14ac:dyDescent="0.2">
      <c r="A302" s="50">
        <v>44440</v>
      </c>
      <c r="B302" s="40">
        <v>0</v>
      </c>
      <c r="C302" s="40">
        <v>0</v>
      </c>
      <c r="D302" s="40">
        <v>13925.547839999999</v>
      </c>
      <c r="E302" s="40">
        <v>14044.745993801336</v>
      </c>
      <c r="F302" s="40">
        <v>2742.9940799999999</v>
      </c>
      <c r="G302" s="40">
        <v>2484.5711428516306</v>
      </c>
      <c r="H302" s="41">
        <v>8.5596742886444588E-3</v>
      </c>
      <c r="I302" s="41">
        <v>-9.4211992301627356E-2</v>
      </c>
      <c r="J302" s="41">
        <v>-8.3525472123018307E-3</v>
      </c>
    </row>
    <row r="303" spans="1:10" ht="11.25" customHeight="1" x14ac:dyDescent="0.2">
      <c r="A303" s="50">
        <v>44470</v>
      </c>
      <c r="B303" s="40">
        <v>0</v>
      </c>
      <c r="C303" s="40">
        <v>0</v>
      </c>
      <c r="D303" s="40">
        <v>14663.119499999999</v>
      </c>
      <c r="E303" s="40">
        <v>14788.63102697547</v>
      </c>
      <c r="F303" s="40">
        <v>2888.2777499999997</v>
      </c>
      <c r="G303" s="40">
        <v>2616.1673488520382</v>
      </c>
      <c r="H303" s="41">
        <v>8.5596742886444588E-3</v>
      </c>
      <c r="I303" s="41">
        <v>-9.4211992301627356E-2</v>
      </c>
      <c r="J303" s="41">
        <v>-8.3525472123018307E-3</v>
      </c>
    </row>
    <row r="304" spans="1:10" ht="11.25" customHeight="1" x14ac:dyDescent="0.2">
      <c r="A304" s="50">
        <v>44501</v>
      </c>
      <c r="B304" s="40">
        <v>0</v>
      </c>
      <c r="C304" s="40">
        <v>0</v>
      </c>
      <c r="D304" s="40">
        <v>16582.876619999999</v>
      </c>
      <c r="E304" s="40">
        <v>16724.820642635976</v>
      </c>
      <c r="F304" s="40">
        <v>3266.42319</v>
      </c>
      <c r="G304" s="40">
        <v>2958.6869535698629</v>
      </c>
      <c r="H304" s="41">
        <v>8.5596742886444588E-3</v>
      </c>
      <c r="I304" s="41">
        <v>-9.4211992301627356E-2</v>
      </c>
      <c r="J304" s="41">
        <v>-8.3525472123019417E-3</v>
      </c>
    </row>
    <row r="305" spans="1:10" ht="11.25" customHeight="1" x14ac:dyDescent="0.2">
      <c r="A305" s="50">
        <v>44531</v>
      </c>
      <c r="B305" s="40">
        <v>0</v>
      </c>
      <c r="C305" s="40">
        <v>0</v>
      </c>
      <c r="D305" s="40">
        <v>16355.088179999999</v>
      </c>
      <c r="E305" s="40">
        <v>16495.082407782858</v>
      </c>
      <c r="F305" s="40">
        <v>3221.5544100000002</v>
      </c>
      <c r="G305" s="40">
        <v>2918.0453507258062</v>
      </c>
      <c r="H305" s="41">
        <v>8.5596742886444588E-3</v>
      </c>
      <c r="I305" s="41">
        <v>-9.4211992301627467E-2</v>
      </c>
      <c r="J305" s="41">
        <v>-8.3525472123019417E-3</v>
      </c>
    </row>
    <row r="306" spans="1:10" ht="11.25" customHeight="1" x14ac:dyDescent="0.2">
      <c r="A306" s="50">
        <v>44562</v>
      </c>
      <c r="B306" s="40">
        <v>0</v>
      </c>
      <c r="C306" s="40">
        <v>0</v>
      </c>
      <c r="D306" s="40">
        <v>14748.996959999997</v>
      </c>
      <c r="E306" s="40">
        <v>14875.243570061801</v>
      </c>
      <c r="F306" s="40">
        <v>2905.1935200000007</v>
      </c>
      <c r="G306" s="40">
        <v>2631.4894504590211</v>
      </c>
      <c r="H306" s="41">
        <v>8.5596742886442367E-3</v>
      </c>
      <c r="I306" s="41">
        <v>-9.4211992301628023E-2</v>
      </c>
      <c r="J306" s="41">
        <v>-8.3525472123022748E-3</v>
      </c>
    </row>
    <row r="307" spans="1:10" ht="11.25" customHeight="1" x14ac:dyDescent="0.2">
      <c r="A307" s="50">
        <v>44593</v>
      </c>
      <c r="B307" s="40">
        <v>0</v>
      </c>
      <c r="C307" s="40">
        <v>0</v>
      </c>
      <c r="D307" s="40">
        <v>21008.30658</v>
      </c>
      <c r="E307" s="40">
        <v>21188.130841680788</v>
      </c>
      <c r="F307" s="40">
        <v>4138.1252100000002</v>
      </c>
      <c r="G307" s="40">
        <v>3748.26418957231</v>
      </c>
      <c r="H307" s="41">
        <v>8.5596742886444588E-3</v>
      </c>
      <c r="I307" s="41">
        <v>-9.4211992301627356E-2</v>
      </c>
      <c r="J307" s="41">
        <v>-8.3525472123019417E-3</v>
      </c>
    </row>
    <row r="308" spans="1:10" ht="11.25" customHeight="1" x14ac:dyDescent="0.2">
      <c r="A308" s="50">
        <v>44621</v>
      </c>
      <c r="B308" s="40">
        <v>0</v>
      </c>
      <c r="C308" s="40">
        <v>0</v>
      </c>
      <c r="D308" s="40">
        <v>25162.09578</v>
      </c>
      <c r="E308" s="40">
        <v>25377.475124296478</v>
      </c>
      <c r="F308" s="40">
        <v>4956.3206100000007</v>
      </c>
      <c r="G308" s="40">
        <v>4489.3757708462826</v>
      </c>
      <c r="H308" s="41">
        <v>8.5596742886444588E-3</v>
      </c>
      <c r="I308" s="41">
        <v>-9.4211992301627578E-2</v>
      </c>
      <c r="J308" s="41">
        <v>-8.3525472123017197E-3</v>
      </c>
    </row>
    <row r="309" spans="1:10" ht="11.25" customHeight="1" x14ac:dyDescent="0.2">
      <c r="A309" s="50">
        <v>44652</v>
      </c>
      <c r="B309" s="40">
        <v>0</v>
      </c>
      <c r="C309" s="40">
        <v>0</v>
      </c>
      <c r="D309" s="40">
        <v>15708.87552</v>
      </c>
      <c r="E309" s="40">
        <v>15843.338377892062</v>
      </c>
      <c r="F309" s="40">
        <v>3094.2662400000004</v>
      </c>
      <c r="G309" s="40">
        <v>2802.7492528179346</v>
      </c>
      <c r="H309" s="41">
        <v>8.5596742886444588E-3</v>
      </c>
      <c r="I309" s="41">
        <v>-9.4211992301627467E-2</v>
      </c>
      <c r="J309" s="41">
        <v>-8.3525472123017197E-3</v>
      </c>
    </row>
    <row r="310" spans="1:10" ht="11.25" customHeight="1" x14ac:dyDescent="0.2">
      <c r="A310" s="50">
        <v>44682</v>
      </c>
      <c r="B310" s="40">
        <v>0</v>
      </c>
      <c r="C310" s="40">
        <v>0</v>
      </c>
      <c r="D310" s="40">
        <v>15429.316979999998</v>
      </c>
      <c r="E310" s="40">
        <v>15561.38690784505</v>
      </c>
      <c r="F310" s="40">
        <v>3039.2000099999996</v>
      </c>
      <c r="G310" s="40">
        <v>2752.8709220547739</v>
      </c>
      <c r="H310" s="41">
        <v>8.5596742886444588E-3</v>
      </c>
      <c r="I310" s="41">
        <v>-9.4211992301627356E-2</v>
      </c>
      <c r="J310" s="41">
        <v>-8.3525472123018307E-3</v>
      </c>
    </row>
    <row r="311" spans="1:10" ht="11.25" customHeight="1" x14ac:dyDescent="0.2">
      <c r="A311" s="50">
        <v>44713</v>
      </c>
      <c r="B311" s="40">
        <v>0</v>
      </c>
      <c r="C311" s="40">
        <v>0</v>
      </c>
      <c r="D311" s="40">
        <v>17453.223359999996</v>
      </c>
      <c r="E311" s="40">
        <v>17602.617267248559</v>
      </c>
      <c r="F311" s="40">
        <v>3437.8603199999998</v>
      </c>
      <c r="G311" s="40">
        <v>3113.9726499980893</v>
      </c>
      <c r="H311" s="41">
        <v>8.5596742886444588E-3</v>
      </c>
      <c r="I311" s="41">
        <v>-9.4211992301627467E-2</v>
      </c>
      <c r="J311" s="41">
        <v>-8.3525472123018307E-3</v>
      </c>
    </row>
    <row r="312" spans="1:10" ht="11.25" customHeight="1" x14ac:dyDescent="0.2">
      <c r="A312" s="50">
        <v>44743</v>
      </c>
      <c r="B312" s="40">
        <v>0</v>
      </c>
      <c r="C312" s="40">
        <v>0</v>
      </c>
      <c r="D312" s="40">
        <v>16900.19688</v>
      </c>
      <c r="E312" s="40">
        <v>17044.857060706767</v>
      </c>
      <c r="F312" s="40">
        <v>3328.9275600000001</v>
      </c>
      <c r="G312" s="40">
        <v>3015.3026623446049</v>
      </c>
      <c r="H312" s="41">
        <v>8.5596742886446808E-3</v>
      </c>
      <c r="I312" s="41">
        <v>-9.4211992301627356E-2</v>
      </c>
      <c r="J312" s="41">
        <v>-8.3525472123017197E-3</v>
      </c>
    </row>
    <row r="313" spans="1:10" ht="11.25" customHeight="1" x14ac:dyDescent="0.2">
      <c r="A313" s="50">
        <v>44774</v>
      </c>
      <c r="B313" s="40">
        <v>0</v>
      </c>
      <c r="C313" s="40">
        <v>0</v>
      </c>
      <c r="D313" s="40">
        <v>16900.19688</v>
      </c>
      <c r="E313" s="40">
        <v>17044.857060706767</v>
      </c>
      <c r="F313" s="40">
        <v>3328.9275600000001</v>
      </c>
      <c r="G313" s="40">
        <v>3015.3026623446049</v>
      </c>
      <c r="H313" s="41">
        <v>8.5596742886446808E-3</v>
      </c>
      <c r="I313" s="41">
        <v>-9.4211992301627356E-2</v>
      </c>
      <c r="J313" s="41">
        <v>-8.3525472123017197E-3</v>
      </c>
    </row>
    <row r="314" spans="1:10" ht="11.25" customHeight="1" x14ac:dyDescent="0.2">
      <c r="A314" s="45" t="s">
        <v>48</v>
      </c>
      <c r="B314" s="40">
        <v>0</v>
      </c>
      <c r="C314" s="40">
        <v>0</v>
      </c>
      <c r="D314" s="40">
        <v>34850.790817199995</v>
      </c>
      <c r="E314" s="40">
        <v>35149.102235296908</v>
      </c>
      <c r="F314" s="40">
        <v>6864.7577813999978</v>
      </c>
      <c r="G314" s="40">
        <v>6218.015274146207</v>
      </c>
      <c r="H314" s="41">
        <v>8.5596742886444588E-3</v>
      </c>
      <c r="I314" s="41">
        <v>-9.4211992301627023E-2</v>
      </c>
      <c r="J314" s="41">
        <v>-8.3525472123017197E-3</v>
      </c>
    </row>
    <row r="315" spans="1:10" ht="11.25" customHeight="1" x14ac:dyDescent="0.2">
      <c r="A315" s="46" t="s">
        <v>49</v>
      </c>
      <c r="B315" s="40">
        <v>0</v>
      </c>
      <c r="C315" s="40">
        <v>0</v>
      </c>
      <c r="D315" s="40">
        <v>34850.790817199995</v>
      </c>
      <c r="E315" s="40">
        <v>35149.102235296908</v>
      </c>
      <c r="F315" s="40">
        <v>6864.7577813999978</v>
      </c>
      <c r="G315" s="40">
        <v>6218.015274146207</v>
      </c>
      <c r="H315" s="41">
        <v>8.5596742886444588E-3</v>
      </c>
      <c r="I315" s="41">
        <v>-9.4211992301627023E-2</v>
      </c>
      <c r="J315" s="41">
        <v>-8.3525472123017197E-3</v>
      </c>
    </row>
    <row r="316" spans="1:10" ht="11.25" customHeight="1" x14ac:dyDescent="0.2">
      <c r="A316" s="47" t="s">
        <v>25</v>
      </c>
      <c r="B316" s="40">
        <v>0</v>
      </c>
      <c r="C316" s="40">
        <v>0</v>
      </c>
      <c r="D316" s="40">
        <v>34850.790817199995</v>
      </c>
      <c r="E316" s="40">
        <v>35149.102235296908</v>
      </c>
      <c r="F316" s="40">
        <v>6864.7577813999978</v>
      </c>
      <c r="G316" s="40">
        <v>6218.015274146207</v>
      </c>
      <c r="H316" s="41">
        <v>8.5596742886444588E-3</v>
      </c>
      <c r="I316" s="41">
        <v>-9.4211992301627023E-2</v>
      </c>
      <c r="J316" s="41">
        <v>-8.3525472123017197E-3</v>
      </c>
    </row>
    <row r="317" spans="1:10" ht="11.25" customHeight="1" x14ac:dyDescent="0.2">
      <c r="A317" s="48" t="s">
        <v>25</v>
      </c>
      <c r="B317" s="40">
        <v>0</v>
      </c>
      <c r="C317" s="40">
        <v>0</v>
      </c>
      <c r="D317" s="40">
        <v>34850.790817199995</v>
      </c>
      <c r="E317" s="40">
        <v>35149.102235296908</v>
      </c>
      <c r="F317" s="40">
        <v>6864.7577813999978</v>
      </c>
      <c r="G317" s="40">
        <v>6218.015274146207</v>
      </c>
      <c r="H317" s="41">
        <v>8.5596742886444588E-3</v>
      </c>
      <c r="I317" s="41">
        <v>-9.4211992301627023E-2</v>
      </c>
      <c r="J317" s="41">
        <v>-8.3525472123017197E-3</v>
      </c>
    </row>
    <row r="318" spans="1:10" ht="11.25" customHeight="1" x14ac:dyDescent="0.2">
      <c r="A318" s="49" t="s">
        <v>25</v>
      </c>
      <c r="B318" s="40">
        <v>0</v>
      </c>
      <c r="C318" s="40">
        <v>0</v>
      </c>
      <c r="D318" s="40">
        <v>34850.790817199995</v>
      </c>
      <c r="E318" s="40">
        <v>35149.102235296908</v>
      </c>
      <c r="F318" s="40">
        <v>6864.7577813999978</v>
      </c>
      <c r="G318" s="40">
        <v>6218.015274146207</v>
      </c>
      <c r="H318" s="41">
        <v>8.5596742886444588E-3</v>
      </c>
      <c r="I318" s="41">
        <v>-9.4211992301627023E-2</v>
      </c>
      <c r="J318" s="41">
        <v>-8.3525472123017197E-3</v>
      </c>
    </row>
    <row r="319" spans="1:10" ht="11.25" customHeight="1" x14ac:dyDescent="0.2">
      <c r="A319" s="50">
        <v>44440</v>
      </c>
      <c r="B319" s="40">
        <v>0</v>
      </c>
      <c r="C319" s="40">
        <v>0</v>
      </c>
      <c r="D319" s="40">
        <v>2586.0565787999999</v>
      </c>
      <c r="E319" s="40">
        <v>2608.1923808065344</v>
      </c>
      <c r="F319" s="40">
        <v>509.39022060000002</v>
      </c>
      <c r="G319" s="40">
        <v>461.39955305830853</v>
      </c>
      <c r="H319" s="41">
        <v>8.5596742886446808E-3</v>
      </c>
      <c r="I319" s="41">
        <v>-9.4211992301627467E-2</v>
      </c>
      <c r="J319" s="41">
        <v>-8.3525472123018307E-3</v>
      </c>
    </row>
    <row r="320" spans="1:10" ht="11.25" customHeight="1" x14ac:dyDescent="0.2">
      <c r="A320" s="50">
        <v>44470</v>
      </c>
      <c r="B320" s="40">
        <v>0</v>
      </c>
      <c r="C320" s="40">
        <v>0</v>
      </c>
      <c r="D320" s="40">
        <v>2670.2164895999995</v>
      </c>
      <c r="E320" s="40">
        <v>2693.072673031143</v>
      </c>
      <c r="F320" s="40">
        <v>525.96767519999992</v>
      </c>
      <c r="G320" s="40">
        <v>476.41521263315269</v>
      </c>
      <c r="H320" s="41">
        <v>8.5596742886444588E-3</v>
      </c>
      <c r="I320" s="41">
        <v>-9.4211992301627356E-2</v>
      </c>
      <c r="J320" s="41">
        <v>-8.3525472123018307E-3</v>
      </c>
    </row>
    <row r="321" spans="1:10" ht="11.25" customHeight="1" x14ac:dyDescent="0.2">
      <c r="A321" s="50">
        <v>44501</v>
      </c>
      <c r="B321" s="40">
        <v>0</v>
      </c>
      <c r="C321" s="40">
        <v>0</v>
      </c>
      <c r="D321" s="40">
        <v>2635.2929891999997</v>
      </c>
      <c r="E321" s="40">
        <v>2657.8502388427</v>
      </c>
      <c r="F321" s="40">
        <v>519.08859539999992</v>
      </c>
      <c r="G321" s="40">
        <v>470.1842246463126</v>
      </c>
      <c r="H321" s="41">
        <v>8.5596742886444588E-3</v>
      </c>
      <c r="I321" s="41">
        <v>-9.4211992301627245E-2</v>
      </c>
      <c r="J321" s="41">
        <v>-8.3525472123019417E-3</v>
      </c>
    </row>
    <row r="322" spans="1:10" ht="11.25" customHeight="1" x14ac:dyDescent="0.2">
      <c r="A322" s="50">
        <v>44531</v>
      </c>
      <c r="B322" s="40">
        <v>0</v>
      </c>
      <c r="C322" s="40">
        <v>0</v>
      </c>
      <c r="D322" s="40">
        <v>2518.4996435999997</v>
      </c>
      <c r="E322" s="40">
        <v>2540.0571802452832</v>
      </c>
      <c r="F322" s="40">
        <v>496.08314820000004</v>
      </c>
      <c r="G322" s="40">
        <v>449.34616646081452</v>
      </c>
      <c r="H322" s="41">
        <v>8.5596742886446808E-3</v>
      </c>
      <c r="I322" s="41">
        <v>-9.4211992301627467E-2</v>
      </c>
      <c r="J322" s="41">
        <v>-8.3525472123017197E-3</v>
      </c>
    </row>
    <row r="323" spans="1:10" ht="11.25" customHeight="1" x14ac:dyDescent="0.2">
      <c r="A323" s="50">
        <v>44562</v>
      </c>
      <c r="B323" s="40">
        <v>0</v>
      </c>
      <c r="C323" s="40">
        <v>0</v>
      </c>
      <c r="D323" s="40">
        <v>2852.2767048000001</v>
      </c>
      <c r="E323" s="40">
        <v>2876.6912643741762</v>
      </c>
      <c r="F323" s="40">
        <v>561.82910760000004</v>
      </c>
      <c r="G323" s="40">
        <v>508.89806803995862</v>
      </c>
      <c r="H323" s="41">
        <v>8.5596742886444588E-3</v>
      </c>
      <c r="I323" s="41">
        <v>-9.4211992301627467E-2</v>
      </c>
      <c r="J323" s="41">
        <v>-8.3525472123019417E-3</v>
      </c>
    </row>
    <row r="324" spans="1:10" ht="11.25" customHeight="1" x14ac:dyDescent="0.2">
      <c r="A324" s="50">
        <v>44593</v>
      </c>
      <c r="B324" s="40">
        <v>0</v>
      </c>
      <c r="C324" s="40">
        <v>0</v>
      </c>
      <c r="D324" s="40">
        <v>3274.2212915999999</v>
      </c>
      <c r="E324" s="40">
        <v>3302.2475594050406</v>
      </c>
      <c r="F324" s="40">
        <v>644.94192420000002</v>
      </c>
      <c r="G324" s="40">
        <v>584.18066060227284</v>
      </c>
      <c r="H324" s="41">
        <v>8.5596742886444588E-3</v>
      </c>
      <c r="I324" s="41">
        <v>-9.4211992301627467E-2</v>
      </c>
      <c r="J324" s="41">
        <v>-8.3525472123018307E-3</v>
      </c>
    </row>
    <row r="325" spans="1:10" ht="11.25" customHeight="1" x14ac:dyDescent="0.2">
      <c r="A325" s="50">
        <v>44621</v>
      </c>
      <c r="B325" s="40">
        <v>0</v>
      </c>
      <c r="C325" s="40">
        <v>0</v>
      </c>
      <c r="D325" s="40">
        <v>3031.4743379999995</v>
      </c>
      <c r="E325" s="40">
        <v>3057.4227709476636</v>
      </c>
      <c r="F325" s="40">
        <v>597.12668099999996</v>
      </c>
      <c r="G325" s="40">
        <v>540.87018672653164</v>
      </c>
      <c r="H325" s="41">
        <v>8.5596742886444588E-3</v>
      </c>
      <c r="I325" s="41">
        <v>-9.4211992301627356E-2</v>
      </c>
      <c r="J325" s="41">
        <v>-8.3525472123019417E-3</v>
      </c>
    </row>
    <row r="326" spans="1:10" ht="11.25" customHeight="1" x14ac:dyDescent="0.2">
      <c r="A326" s="50">
        <v>44652</v>
      </c>
      <c r="B326" s="40">
        <v>0</v>
      </c>
      <c r="C326" s="40">
        <v>0</v>
      </c>
      <c r="D326" s="40">
        <v>2833.9561799999997</v>
      </c>
      <c r="E326" s="40">
        <v>2858.2139218490906</v>
      </c>
      <c r="F326" s="40">
        <v>558.2204099999999</v>
      </c>
      <c r="G326" s="40">
        <v>505.62935303046868</v>
      </c>
      <c r="H326" s="41">
        <v>8.5596742886444588E-3</v>
      </c>
      <c r="I326" s="41">
        <v>-9.4211992301627245E-2</v>
      </c>
      <c r="J326" s="41">
        <v>-8.3525472123018307E-3</v>
      </c>
    </row>
    <row r="327" spans="1:10" ht="11.25" customHeight="1" x14ac:dyDescent="0.2">
      <c r="A327" s="50">
        <v>44682</v>
      </c>
      <c r="B327" s="40">
        <v>0</v>
      </c>
      <c r="C327" s="40">
        <v>0</v>
      </c>
      <c r="D327" s="40">
        <v>2565.4459883999998</v>
      </c>
      <c r="E327" s="40">
        <v>2587.4053704658131</v>
      </c>
      <c r="F327" s="40">
        <v>505.33043579999998</v>
      </c>
      <c r="G327" s="40">
        <v>457.72224867263236</v>
      </c>
      <c r="H327" s="41">
        <v>8.5596742886444588E-3</v>
      </c>
      <c r="I327" s="41">
        <v>-9.4211992301627356E-2</v>
      </c>
      <c r="J327" s="41">
        <v>-8.3525472123020528E-3</v>
      </c>
    </row>
    <row r="328" spans="1:10" ht="11.25" customHeight="1" x14ac:dyDescent="0.2">
      <c r="A328" s="50">
        <v>44713</v>
      </c>
      <c r="B328" s="40">
        <v>0</v>
      </c>
      <c r="C328" s="40">
        <v>0</v>
      </c>
      <c r="D328" s="40">
        <v>3515.8232123999996</v>
      </c>
      <c r="E328" s="40">
        <v>3545.9175139545996</v>
      </c>
      <c r="F328" s="40">
        <v>692.53162380000003</v>
      </c>
      <c r="G328" s="40">
        <v>627.28683978992092</v>
      </c>
      <c r="H328" s="41">
        <v>8.5596742886444588E-3</v>
      </c>
      <c r="I328" s="41">
        <v>-9.4211992301627356E-2</v>
      </c>
      <c r="J328" s="41">
        <v>-8.3525472123019417E-3</v>
      </c>
    </row>
    <row r="329" spans="1:10" ht="11.25" customHeight="1" x14ac:dyDescent="0.2">
      <c r="A329" s="50">
        <v>44743</v>
      </c>
      <c r="B329" s="40">
        <v>0</v>
      </c>
      <c r="C329" s="40">
        <v>0</v>
      </c>
      <c r="D329" s="40">
        <v>3183.7637003999998</v>
      </c>
      <c r="E329" s="40">
        <v>3211.0156806874334</v>
      </c>
      <c r="F329" s="40">
        <v>627.12397980000003</v>
      </c>
      <c r="G329" s="40">
        <v>568.04138024291649</v>
      </c>
      <c r="H329" s="41">
        <v>8.5596742886444588E-3</v>
      </c>
      <c r="I329" s="41">
        <v>-9.4211992301627356E-2</v>
      </c>
      <c r="J329" s="41">
        <v>-8.3525472123018307E-3</v>
      </c>
    </row>
    <row r="330" spans="1:10" ht="11.25" customHeight="1" x14ac:dyDescent="0.2">
      <c r="A330" s="50">
        <v>44774</v>
      </c>
      <c r="B330" s="40">
        <v>0</v>
      </c>
      <c r="C330" s="40">
        <v>0</v>
      </c>
      <c r="D330" s="40">
        <v>3183.7637003999998</v>
      </c>
      <c r="E330" s="40">
        <v>3211.0156806874334</v>
      </c>
      <c r="F330" s="40">
        <v>627.12397980000003</v>
      </c>
      <c r="G330" s="40">
        <v>568.04138024291649</v>
      </c>
      <c r="H330" s="41">
        <v>8.5596742886444588E-3</v>
      </c>
      <c r="I330" s="41">
        <v>-9.4211992301627356E-2</v>
      </c>
      <c r="J330" s="41">
        <v>-8.3525472123018307E-3</v>
      </c>
    </row>
    <row r="331" spans="1:10" ht="11.25" customHeight="1" x14ac:dyDescent="0.2">
      <c r="A331" s="43" t="s">
        <v>45</v>
      </c>
      <c r="B331" s="40">
        <v>0</v>
      </c>
      <c r="C331" s="40">
        <v>0</v>
      </c>
      <c r="D331" s="40">
        <v>338579.02512000006</v>
      </c>
      <c r="E331" s="40">
        <v>341480.20948291227</v>
      </c>
      <c r="F331" s="40">
        <v>66698.996559999985</v>
      </c>
      <c r="G331" s="40">
        <v>60409.20033090168</v>
      </c>
      <c r="H331" s="41">
        <v>8.5687067055733035E-3</v>
      </c>
      <c r="I331" s="41">
        <v>-9.4301212214493169E-2</v>
      </c>
      <c r="J331" s="41">
        <v>-8.3612031368968109E-3</v>
      </c>
    </row>
    <row r="332" spans="1:10" ht="11.25" customHeight="1" x14ac:dyDescent="0.2">
      <c r="A332" s="44" t="s">
        <v>23</v>
      </c>
      <c r="B332" s="40">
        <v>0</v>
      </c>
      <c r="C332" s="40">
        <v>0</v>
      </c>
      <c r="D332" s="40">
        <v>338579.02512000006</v>
      </c>
      <c r="E332" s="40">
        <v>341480.20948291227</v>
      </c>
      <c r="F332" s="40">
        <v>66698.996559999985</v>
      </c>
      <c r="G332" s="40">
        <v>60409.20033090168</v>
      </c>
      <c r="H332" s="41">
        <v>8.5687067055733035E-3</v>
      </c>
      <c r="I332" s="41">
        <v>-9.4301212214493169E-2</v>
      </c>
      <c r="J332" s="41">
        <v>-8.3612031368968109E-3</v>
      </c>
    </row>
    <row r="333" spans="1:10" ht="11.25" customHeight="1" x14ac:dyDescent="0.2">
      <c r="A333" s="45" t="s">
        <v>46</v>
      </c>
      <c r="B333" s="40">
        <v>0</v>
      </c>
      <c r="C333" s="40">
        <v>0</v>
      </c>
      <c r="D333" s="40">
        <v>338579.02512000006</v>
      </c>
      <c r="E333" s="40">
        <v>341480.20948291227</v>
      </c>
      <c r="F333" s="40">
        <v>66698.996559999985</v>
      </c>
      <c r="G333" s="40">
        <v>60409.20033090168</v>
      </c>
      <c r="H333" s="41">
        <v>8.5687067055733035E-3</v>
      </c>
      <c r="I333" s="41">
        <v>-9.4301212214493169E-2</v>
      </c>
      <c r="J333" s="41">
        <v>-8.3612031368968109E-3</v>
      </c>
    </row>
    <row r="334" spans="1:10" ht="11.25" customHeight="1" x14ac:dyDescent="0.2">
      <c r="A334" s="46" t="s">
        <v>47</v>
      </c>
      <c r="B334" s="40">
        <v>0</v>
      </c>
      <c r="C334" s="40">
        <v>0</v>
      </c>
      <c r="D334" s="40">
        <v>338579.02512000006</v>
      </c>
      <c r="E334" s="40">
        <v>341480.20948291227</v>
      </c>
      <c r="F334" s="40">
        <v>66698.996559999985</v>
      </c>
      <c r="G334" s="40">
        <v>60409.20033090168</v>
      </c>
      <c r="H334" s="41">
        <v>8.5687067055733035E-3</v>
      </c>
      <c r="I334" s="41">
        <v>-9.4301212214493169E-2</v>
      </c>
      <c r="J334" s="41">
        <v>-8.3612031368968109E-3</v>
      </c>
    </row>
    <row r="335" spans="1:10" ht="11.25" customHeight="1" x14ac:dyDescent="0.2">
      <c r="A335" s="47" t="s">
        <v>25</v>
      </c>
      <c r="B335" s="40">
        <v>0</v>
      </c>
      <c r="C335" s="40">
        <v>0</v>
      </c>
      <c r="D335" s="40">
        <v>338579.02512000006</v>
      </c>
      <c r="E335" s="40">
        <v>341480.20948291227</v>
      </c>
      <c r="F335" s="40">
        <v>66698.996559999985</v>
      </c>
      <c r="G335" s="40">
        <v>60409.20033090168</v>
      </c>
      <c r="H335" s="41">
        <v>8.5687067055733035E-3</v>
      </c>
      <c r="I335" s="41">
        <v>-9.4301212214493169E-2</v>
      </c>
      <c r="J335" s="41">
        <v>-8.3612031368968109E-3</v>
      </c>
    </row>
    <row r="336" spans="1:10" ht="11.25" customHeight="1" x14ac:dyDescent="0.2">
      <c r="A336" s="48" t="s">
        <v>25</v>
      </c>
      <c r="B336" s="40">
        <v>0</v>
      </c>
      <c r="C336" s="40">
        <v>0</v>
      </c>
      <c r="D336" s="40">
        <v>338579.02512000006</v>
      </c>
      <c r="E336" s="40">
        <v>341480.20948291227</v>
      </c>
      <c r="F336" s="40">
        <v>66698.996559999985</v>
      </c>
      <c r="G336" s="40">
        <v>60409.20033090168</v>
      </c>
      <c r="H336" s="41">
        <v>8.5687067055733035E-3</v>
      </c>
      <c r="I336" s="41">
        <v>-9.4301212214493169E-2</v>
      </c>
      <c r="J336" s="41">
        <v>-8.3612031368968109E-3</v>
      </c>
    </row>
    <row r="337" spans="1:10" ht="11.25" customHeight="1" x14ac:dyDescent="0.2">
      <c r="A337" s="49" t="s">
        <v>25</v>
      </c>
      <c r="B337" s="40">
        <v>0</v>
      </c>
      <c r="C337" s="40">
        <v>0</v>
      </c>
      <c r="D337" s="40">
        <v>338579.02512000006</v>
      </c>
      <c r="E337" s="40">
        <v>341480.20948291227</v>
      </c>
      <c r="F337" s="40">
        <v>66698.996559999985</v>
      </c>
      <c r="G337" s="40">
        <v>60409.20033090168</v>
      </c>
      <c r="H337" s="41">
        <v>8.5687067055733035E-3</v>
      </c>
      <c r="I337" s="41">
        <v>-9.4301212214493169E-2</v>
      </c>
      <c r="J337" s="41">
        <v>-8.3612031368968109E-3</v>
      </c>
    </row>
    <row r="338" spans="1:10" ht="11.25" customHeight="1" x14ac:dyDescent="0.2">
      <c r="A338" s="50">
        <v>44440</v>
      </c>
      <c r="B338" s="40">
        <v>0</v>
      </c>
      <c r="C338" s="40">
        <v>0</v>
      </c>
      <c r="D338" s="40">
        <v>27900.484200000003</v>
      </c>
      <c r="E338" s="40">
        <v>28139.555266053289</v>
      </c>
      <c r="F338" s="40">
        <v>5496.3071</v>
      </c>
      <c r="G338" s="40">
        <v>4977.9986777668728</v>
      </c>
      <c r="H338" s="41">
        <v>8.5687067055735255E-3</v>
      </c>
      <c r="I338" s="41">
        <v>-9.4301212214493502E-2</v>
      </c>
      <c r="J338" s="41">
        <v>-8.3612031368966999E-3</v>
      </c>
    </row>
    <row r="339" spans="1:10" ht="11.25" customHeight="1" x14ac:dyDescent="0.2">
      <c r="A339" s="50">
        <v>44470</v>
      </c>
      <c r="B339" s="40">
        <v>0</v>
      </c>
      <c r="C339" s="40">
        <v>0</v>
      </c>
      <c r="D339" s="40">
        <v>27900.484200000003</v>
      </c>
      <c r="E339" s="40">
        <v>28139.555266053289</v>
      </c>
      <c r="F339" s="40">
        <v>5496.3071</v>
      </c>
      <c r="G339" s="40">
        <v>4977.9986777668728</v>
      </c>
      <c r="H339" s="41">
        <v>8.5687067055735255E-3</v>
      </c>
      <c r="I339" s="41">
        <v>-9.4301212214493502E-2</v>
      </c>
      <c r="J339" s="41">
        <v>-8.3612031368966999E-3</v>
      </c>
    </row>
    <row r="340" spans="1:10" ht="11.25" customHeight="1" x14ac:dyDescent="0.2">
      <c r="A340" s="50">
        <v>44501</v>
      </c>
      <c r="B340" s="40">
        <v>0</v>
      </c>
      <c r="C340" s="40">
        <v>0</v>
      </c>
      <c r="D340" s="40">
        <v>27900.484200000003</v>
      </c>
      <c r="E340" s="40">
        <v>28139.555266053289</v>
      </c>
      <c r="F340" s="40">
        <v>5496.3071</v>
      </c>
      <c r="G340" s="40">
        <v>4977.9986777668728</v>
      </c>
      <c r="H340" s="41">
        <v>8.5687067055735255E-3</v>
      </c>
      <c r="I340" s="41">
        <v>-9.4301212214493502E-2</v>
      </c>
      <c r="J340" s="41">
        <v>-8.3612031368966999E-3</v>
      </c>
    </row>
    <row r="341" spans="1:10" ht="11.25" customHeight="1" x14ac:dyDescent="0.2">
      <c r="A341" s="50">
        <v>44531</v>
      </c>
      <c r="B341" s="40">
        <v>0</v>
      </c>
      <c r="C341" s="40">
        <v>0</v>
      </c>
      <c r="D341" s="40">
        <v>27900.484200000003</v>
      </c>
      <c r="E341" s="40">
        <v>28139.555266053289</v>
      </c>
      <c r="F341" s="40">
        <v>5496.3071</v>
      </c>
      <c r="G341" s="40">
        <v>4977.9986777668728</v>
      </c>
      <c r="H341" s="41">
        <v>8.5687067055735255E-3</v>
      </c>
      <c r="I341" s="41">
        <v>-9.4301212214493502E-2</v>
      </c>
      <c r="J341" s="41">
        <v>-8.3612031368966999E-3</v>
      </c>
    </row>
    <row r="342" spans="1:10" ht="11.25" customHeight="1" x14ac:dyDescent="0.2">
      <c r="A342" s="50">
        <v>44562</v>
      </c>
      <c r="B342" s="40">
        <v>0</v>
      </c>
      <c r="C342" s="40">
        <v>0</v>
      </c>
      <c r="D342" s="40">
        <v>28372.136039999998</v>
      </c>
      <c r="E342" s="40">
        <v>28615.248552337387</v>
      </c>
      <c r="F342" s="40">
        <v>5589.221019999999</v>
      </c>
      <c r="G342" s="40">
        <v>5062.1507024792718</v>
      </c>
      <c r="H342" s="41">
        <v>8.5687067055735255E-3</v>
      </c>
      <c r="I342" s="41">
        <v>-9.4301212214493391E-2</v>
      </c>
      <c r="J342" s="41">
        <v>-8.3612031368965889E-3</v>
      </c>
    </row>
    <row r="343" spans="1:10" ht="11.25" customHeight="1" x14ac:dyDescent="0.2">
      <c r="A343" s="50">
        <v>44593</v>
      </c>
      <c r="B343" s="40">
        <v>0</v>
      </c>
      <c r="C343" s="40">
        <v>0</v>
      </c>
      <c r="D343" s="40">
        <v>28372.136039999998</v>
      </c>
      <c r="E343" s="40">
        <v>28615.248552337387</v>
      </c>
      <c r="F343" s="40">
        <v>5589.221019999999</v>
      </c>
      <c r="G343" s="40">
        <v>5062.1507024792718</v>
      </c>
      <c r="H343" s="41">
        <v>8.5687067055735255E-3</v>
      </c>
      <c r="I343" s="41">
        <v>-9.4301212214493391E-2</v>
      </c>
      <c r="J343" s="41">
        <v>-8.3612031368965889E-3</v>
      </c>
    </row>
    <row r="344" spans="1:10" ht="11.25" customHeight="1" x14ac:dyDescent="0.2">
      <c r="A344" s="50">
        <v>44621</v>
      </c>
      <c r="B344" s="40">
        <v>0</v>
      </c>
      <c r="C344" s="40">
        <v>0</v>
      </c>
      <c r="D344" s="40">
        <v>28372.136039999998</v>
      </c>
      <c r="E344" s="40">
        <v>28615.248552337387</v>
      </c>
      <c r="F344" s="40">
        <v>5589.221019999999</v>
      </c>
      <c r="G344" s="40">
        <v>5062.1507024792718</v>
      </c>
      <c r="H344" s="41">
        <v>8.5687067055735255E-3</v>
      </c>
      <c r="I344" s="41">
        <v>-9.4301212214493391E-2</v>
      </c>
      <c r="J344" s="41">
        <v>-8.3612031368965889E-3</v>
      </c>
    </row>
    <row r="345" spans="1:10" ht="11.25" customHeight="1" x14ac:dyDescent="0.2">
      <c r="A345" s="50">
        <v>44652</v>
      </c>
      <c r="B345" s="40">
        <v>0</v>
      </c>
      <c r="C345" s="40">
        <v>0</v>
      </c>
      <c r="D345" s="40">
        <v>28372.136039999998</v>
      </c>
      <c r="E345" s="40">
        <v>28615.248552337387</v>
      </c>
      <c r="F345" s="40">
        <v>5589.221019999999</v>
      </c>
      <c r="G345" s="40">
        <v>5062.1507024792718</v>
      </c>
      <c r="H345" s="41">
        <v>8.5687067055735255E-3</v>
      </c>
      <c r="I345" s="41">
        <v>-9.4301212214493391E-2</v>
      </c>
      <c r="J345" s="41">
        <v>-8.3612031368965889E-3</v>
      </c>
    </row>
    <row r="346" spans="1:10" ht="11.25" customHeight="1" x14ac:dyDescent="0.2">
      <c r="A346" s="50">
        <v>44682</v>
      </c>
      <c r="B346" s="40">
        <v>0</v>
      </c>
      <c r="C346" s="40">
        <v>0</v>
      </c>
      <c r="D346" s="40">
        <v>28372.136039999998</v>
      </c>
      <c r="E346" s="40">
        <v>28615.248552337387</v>
      </c>
      <c r="F346" s="40">
        <v>5589.221019999999</v>
      </c>
      <c r="G346" s="40">
        <v>5062.1507024792718</v>
      </c>
      <c r="H346" s="41">
        <v>8.5687067055735255E-3</v>
      </c>
      <c r="I346" s="41">
        <v>-9.4301212214493391E-2</v>
      </c>
      <c r="J346" s="41">
        <v>-8.3612031368965889E-3</v>
      </c>
    </row>
    <row r="347" spans="1:10" ht="11.25" customHeight="1" x14ac:dyDescent="0.2">
      <c r="A347" s="50">
        <v>44713</v>
      </c>
      <c r="B347" s="40">
        <v>0</v>
      </c>
      <c r="C347" s="40">
        <v>0</v>
      </c>
      <c r="D347" s="40">
        <v>28372.136039999998</v>
      </c>
      <c r="E347" s="40">
        <v>28615.248552337387</v>
      </c>
      <c r="F347" s="40">
        <v>5589.221019999999</v>
      </c>
      <c r="G347" s="40">
        <v>5062.1507024792718</v>
      </c>
      <c r="H347" s="41">
        <v>8.5687067055735255E-3</v>
      </c>
      <c r="I347" s="41">
        <v>-9.4301212214493391E-2</v>
      </c>
      <c r="J347" s="41">
        <v>-8.3612031368965889E-3</v>
      </c>
    </row>
    <row r="348" spans="1:10" ht="11.25" customHeight="1" x14ac:dyDescent="0.2">
      <c r="A348" s="50">
        <v>44743</v>
      </c>
      <c r="B348" s="40">
        <v>0</v>
      </c>
      <c r="C348" s="40">
        <v>0</v>
      </c>
      <c r="D348" s="40">
        <v>28372.136039999998</v>
      </c>
      <c r="E348" s="40">
        <v>28615.248552337387</v>
      </c>
      <c r="F348" s="40">
        <v>5589.221019999999</v>
      </c>
      <c r="G348" s="40">
        <v>5062.1507024792718</v>
      </c>
      <c r="H348" s="41">
        <v>8.5687067055735255E-3</v>
      </c>
      <c r="I348" s="41">
        <v>-9.4301212214493391E-2</v>
      </c>
      <c r="J348" s="41">
        <v>-8.3612031368965889E-3</v>
      </c>
    </row>
    <row r="349" spans="1:10" ht="11.25" customHeight="1" x14ac:dyDescent="0.2">
      <c r="A349" s="50">
        <v>44774</v>
      </c>
      <c r="B349" s="40">
        <v>0</v>
      </c>
      <c r="C349" s="40">
        <v>0</v>
      </c>
      <c r="D349" s="40">
        <v>28372.136039999998</v>
      </c>
      <c r="E349" s="40">
        <v>28615.248552337387</v>
      </c>
      <c r="F349" s="40">
        <v>5589.221019999999</v>
      </c>
      <c r="G349" s="40">
        <v>5062.1507024792718</v>
      </c>
      <c r="H349" s="41">
        <v>8.5687067055735255E-3</v>
      </c>
      <c r="I349" s="41">
        <v>-9.4301212214493391E-2</v>
      </c>
      <c r="J349" s="41">
        <v>-8.3612031368965889E-3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8E4A7-C65D-4804-9BF3-F7D2CCF09FD3}">
  <sheetPr codeName="Planilha19"/>
  <dimension ref="A1:G183"/>
  <sheetViews>
    <sheetView showGridLines="0" workbookViewId="0"/>
  </sheetViews>
  <sheetFormatPr defaultColWidth="9.109375" defaultRowHeight="11.25" customHeight="1" x14ac:dyDescent="0.2"/>
  <cols>
    <col min="1" max="1" width="34.6640625" style="14" bestFit="1" customWidth="1"/>
    <col min="2" max="2" width="20.44140625" style="40" bestFit="1" customWidth="1"/>
    <col min="3" max="3" width="21.88671875" style="40" bestFit="1" customWidth="1"/>
    <col min="4" max="4" width="20.33203125" style="40" bestFit="1" customWidth="1"/>
    <col min="5" max="5" width="21.6640625" style="40" bestFit="1" customWidth="1"/>
    <col min="6" max="6" width="14.88671875" style="40" bestFit="1" customWidth="1"/>
    <col min="7" max="7" width="14.6640625" style="40" bestFit="1" customWidth="1"/>
    <col min="8" max="16384" width="9.109375" style="14"/>
  </cols>
  <sheetData>
    <row r="1" spans="1:7" ht="11.25" customHeight="1" x14ac:dyDescent="0.2">
      <c r="A1" s="39" t="s">
        <v>609</v>
      </c>
      <c r="B1" s="40" t="s">
        <v>635</v>
      </c>
      <c r="C1" s="40" t="s">
        <v>636</v>
      </c>
      <c r="D1" s="40" t="s">
        <v>637</v>
      </c>
      <c r="E1" s="40" t="s">
        <v>638</v>
      </c>
      <c r="F1" s="40" t="s">
        <v>639</v>
      </c>
      <c r="G1" s="40" t="s">
        <v>640</v>
      </c>
    </row>
    <row r="2" spans="1:7" ht="11.25" customHeight="1" x14ac:dyDescent="0.2">
      <c r="A2" s="42" t="s">
        <v>624</v>
      </c>
      <c r="B2" s="40">
        <v>10920.966</v>
      </c>
      <c r="C2" s="40">
        <v>15581.340231600003</v>
      </c>
      <c r="D2" s="40">
        <v>10528.142565622908</v>
      </c>
      <c r="E2" s="40">
        <v>15809.144285194778</v>
      </c>
      <c r="F2" s="40">
        <v>26502.306231600003</v>
      </c>
      <c r="G2" s="40">
        <v>26337.286850817683</v>
      </c>
    </row>
    <row r="3" spans="1:7" ht="11.25" customHeight="1" x14ac:dyDescent="0.2">
      <c r="A3" s="43" t="s">
        <v>35</v>
      </c>
      <c r="B3" s="40">
        <v>10920.966</v>
      </c>
      <c r="C3" s="40">
        <v>12918.645640200004</v>
      </c>
      <c r="D3" s="40">
        <v>10528.142565622908</v>
      </c>
      <c r="E3" s="40">
        <v>13168.689976081387</v>
      </c>
      <c r="F3" s="40">
        <v>23839.611640200004</v>
      </c>
      <c r="G3" s="40">
        <v>23696.832541704294</v>
      </c>
    </row>
    <row r="4" spans="1:7" ht="11.25" customHeight="1" x14ac:dyDescent="0.2">
      <c r="A4" s="44" t="s">
        <v>50</v>
      </c>
      <c r="B4" s="40">
        <v>4742.2935000000007</v>
      </c>
      <c r="C4" s="40">
        <v>999.46521179999968</v>
      </c>
      <c r="D4" s="40">
        <v>4519.7581301361352</v>
      </c>
      <c r="E4" s="40">
        <v>1112.6949993841524</v>
      </c>
      <c r="F4" s="40">
        <v>5741.7587118000001</v>
      </c>
      <c r="G4" s="40">
        <v>5632.4531295202878</v>
      </c>
    </row>
    <row r="5" spans="1:7" ht="11.25" customHeight="1" x14ac:dyDescent="0.2">
      <c r="A5" s="45" t="s">
        <v>48</v>
      </c>
      <c r="B5" s="40">
        <v>4742.2935000000007</v>
      </c>
      <c r="C5" s="40">
        <v>999.46521179999968</v>
      </c>
      <c r="D5" s="40">
        <v>4519.7581301361352</v>
      </c>
      <c r="E5" s="40">
        <v>1112.6949993841524</v>
      </c>
      <c r="F5" s="40">
        <v>5741.7587118000001</v>
      </c>
      <c r="G5" s="40">
        <v>5632.4531295202878</v>
      </c>
    </row>
    <row r="6" spans="1:7" ht="11.25" customHeight="1" x14ac:dyDescent="0.2">
      <c r="A6" s="46" t="s">
        <v>49</v>
      </c>
      <c r="B6" s="40">
        <v>4742.2935000000007</v>
      </c>
      <c r="C6" s="40">
        <v>999.46521179999968</v>
      </c>
      <c r="D6" s="40">
        <v>4519.7581301361352</v>
      </c>
      <c r="E6" s="40">
        <v>1112.6949993841524</v>
      </c>
      <c r="F6" s="40">
        <v>5741.7587118000001</v>
      </c>
      <c r="G6" s="40">
        <v>5632.4531295202878</v>
      </c>
    </row>
    <row r="7" spans="1:7" ht="11.25" customHeight="1" x14ac:dyDescent="0.2">
      <c r="A7" s="47" t="s">
        <v>25</v>
      </c>
      <c r="B7" s="40">
        <v>4742.2935000000007</v>
      </c>
      <c r="C7" s="40">
        <v>999.46521179999968</v>
      </c>
      <c r="D7" s="40">
        <v>4519.7581301361352</v>
      </c>
      <c r="E7" s="40">
        <v>1112.6949993841524</v>
      </c>
      <c r="F7" s="40">
        <v>5741.7587118000001</v>
      </c>
      <c r="G7" s="40">
        <v>5632.4531295202878</v>
      </c>
    </row>
    <row r="8" spans="1:7" ht="11.25" customHeight="1" x14ac:dyDescent="0.2">
      <c r="A8" s="48" t="s">
        <v>25</v>
      </c>
      <c r="B8" s="40">
        <v>4742.2935000000007</v>
      </c>
      <c r="C8" s="40">
        <v>999.46521179999968</v>
      </c>
      <c r="D8" s="40">
        <v>4519.7581301361352</v>
      </c>
      <c r="E8" s="40">
        <v>1112.6949993841524</v>
      </c>
      <c r="F8" s="40">
        <v>5741.7587118000001</v>
      </c>
      <c r="G8" s="40">
        <v>5632.4531295202878</v>
      </c>
    </row>
    <row r="9" spans="1:7" ht="11.25" customHeight="1" x14ac:dyDescent="0.2">
      <c r="A9" s="49" t="s">
        <v>38</v>
      </c>
      <c r="B9" s="40">
        <v>1240.6725000000001</v>
      </c>
      <c r="C9" s="40">
        <v>895.91716499999961</v>
      </c>
      <c r="D9" s="40">
        <v>1206.4787927401003</v>
      </c>
      <c r="E9" s="40">
        <v>997.4159556414952</v>
      </c>
      <c r="F9" s="40">
        <v>2136.5896649999995</v>
      </c>
      <c r="G9" s="40">
        <v>2203.8947483815955</v>
      </c>
    </row>
    <row r="10" spans="1:7" ht="11.25" customHeight="1" x14ac:dyDescent="0.2">
      <c r="A10" s="50">
        <v>44440</v>
      </c>
      <c r="B10" s="40">
        <v>617.25</v>
      </c>
      <c r="C10" s="40">
        <v>451.4574305999995</v>
      </c>
      <c r="D10" s="40">
        <v>600.23820534333345</v>
      </c>
      <c r="E10" s="40">
        <v>502.60321173035311</v>
      </c>
      <c r="F10" s="40">
        <v>1068.7074305999995</v>
      </c>
      <c r="G10" s="40">
        <v>1102.8414170736864</v>
      </c>
    </row>
    <row r="11" spans="1:7" ht="11.25" customHeight="1" x14ac:dyDescent="0.2">
      <c r="A11" s="50">
        <v>44470</v>
      </c>
      <c r="B11" s="40">
        <v>623.42250000000024</v>
      </c>
      <c r="C11" s="40">
        <v>444.45973440000012</v>
      </c>
      <c r="D11" s="40">
        <v>606.24058739676695</v>
      </c>
      <c r="E11" s="40">
        <v>494.81274391114209</v>
      </c>
      <c r="F11" s="40">
        <v>1067.8822344000005</v>
      </c>
      <c r="G11" s="40">
        <v>1101.053331307909</v>
      </c>
    </row>
    <row r="12" spans="1:7" ht="11.25" customHeight="1" x14ac:dyDescent="0.2">
      <c r="A12" s="49" t="s">
        <v>37</v>
      </c>
      <c r="B12" s="40">
        <v>3501.6210000000005</v>
      </c>
      <c r="C12" s="40">
        <v>103.54804680000001</v>
      </c>
      <c r="D12" s="40">
        <v>3313.2793373960344</v>
      </c>
      <c r="E12" s="40">
        <v>115.27904374265709</v>
      </c>
      <c r="F12" s="40">
        <v>3605.1690468000006</v>
      </c>
      <c r="G12" s="40">
        <v>3428.5583811386914</v>
      </c>
    </row>
    <row r="13" spans="1:7" ht="11.25" customHeight="1" x14ac:dyDescent="0.2">
      <c r="A13" s="50">
        <v>44440</v>
      </c>
      <c r="B13" s="40">
        <v>1742.1</v>
      </c>
      <c r="C13" s="40">
        <v>52.309732200000042</v>
      </c>
      <c r="D13" s="40">
        <v>1648.3976802965342</v>
      </c>
      <c r="E13" s="40">
        <v>58.235921321603172</v>
      </c>
      <c r="F13" s="40">
        <v>1794.4097322</v>
      </c>
      <c r="G13" s="40">
        <v>1706.6336016181374</v>
      </c>
    </row>
    <row r="14" spans="1:7" ht="11.25" customHeight="1" x14ac:dyDescent="0.2">
      <c r="A14" s="50">
        <v>44470</v>
      </c>
      <c r="B14" s="40">
        <v>1759.5210000000006</v>
      </c>
      <c r="C14" s="40">
        <v>51.238314599999967</v>
      </c>
      <c r="D14" s="40">
        <v>1664.8816570995002</v>
      </c>
      <c r="E14" s="40">
        <v>57.043122421053923</v>
      </c>
      <c r="F14" s="40">
        <v>1810.7593146000006</v>
      </c>
      <c r="G14" s="40">
        <v>1721.9247795205542</v>
      </c>
    </row>
    <row r="15" spans="1:7" ht="11.25" customHeight="1" x14ac:dyDescent="0.2">
      <c r="A15" s="44" t="s">
        <v>36</v>
      </c>
      <c r="B15" s="40">
        <v>6178.6725000000006</v>
      </c>
      <c r="C15" s="40">
        <v>11919.180428400005</v>
      </c>
      <c r="D15" s="40">
        <v>6008.3844354867688</v>
      </c>
      <c r="E15" s="40">
        <v>12055.994976697231</v>
      </c>
      <c r="F15" s="40">
        <v>18097.852928400003</v>
      </c>
      <c r="G15" s="40">
        <v>18064.379412184</v>
      </c>
    </row>
    <row r="16" spans="1:7" ht="11.25" customHeight="1" x14ac:dyDescent="0.2">
      <c r="A16" s="45" t="s">
        <v>48</v>
      </c>
      <c r="B16" s="40">
        <v>6178.6725000000006</v>
      </c>
      <c r="C16" s="40">
        <v>11919.180428400005</v>
      </c>
      <c r="D16" s="40">
        <v>6008.3844354867688</v>
      </c>
      <c r="E16" s="40">
        <v>12055.994976697231</v>
      </c>
      <c r="F16" s="40">
        <v>18097.852928400003</v>
      </c>
      <c r="G16" s="40">
        <v>18064.379412184</v>
      </c>
    </row>
    <row r="17" spans="1:7" ht="11.25" customHeight="1" x14ac:dyDescent="0.2">
      <c r="A17" s="46" t="s">
        <v>49</v>
      </c>
      <c r="B17" s="40">
        <v>6178.6725000000006</v>
      </c>
      <c r="C17" s="40">
        <v>11919.180428400005</v>
      </c>
      <c r="D17" s="40">
        <v>6008.3844354867688</v>
      </c>
      <c r="E17" s="40">
        <v>12055.994976697231</v>
      </c>
      <c r="F17" s="40">
        <v>18097.852928400003</v>
      </c>
      <c r="G17" s="40">
        <v>18064.379412184</v>
      </c>
    </row>
    <row r="18" spans="1:7" ht="11.25" customHeight="1" x14ac:dyDescent="0.2">
      <c r="A18" s="47" t="s">
        <v>25</v>
      </c>
      <c r="B18" s="40">
        <v>6178.6725000000006</v>
      </c>
      <c r="C18" s="40">
        <v>11919.180428400005</v>
      </c>
      <c r="D18" s="40">
        <v>6008.3844354867688</v>
      </c>
      <c r="E18" s="40">
        <v>12055.994976697231</v>
      </c>
      <c r="F18" s="40">
        <v>18097.852928400003</v>
      </c>
      <c r="G18" s="40">
        <v>18064.379412184</v>
      </c>
    </row>
    <row r="19" spans="1:7" ht="11.25" customHeight="1" x14ac:dyDescent="0.2">
      <c r="A19" s="48" t="s">
        <v>25</v>
      </c>
      <c r="B19" s="40">
        <v>6178.6725000000006</v>
      </c>
      <c r="C19" s="40">
        <v>11919.180428400005</v>
      </c>
      <c r="D19" s="40">
        <v>6008.3844354867688</v>
      </c>
      <c r="E19" s="40">
        <v>12055.994976697231</v>
      </c>
      <c r="F19" s="40">
        <v>18097.852928400003</v>
      </c>
      <c r="G19" s="40">
        <v>18064.379412184</v>
      </c>
    </row>
    <row r="20" spans="1:7" ht="11.25" customHeight="1" x14ac:dyDescent="0.2">
      <c r="A20" s="49" t="s">
        <v>38</v>
      </c>
      <c r="B20" s="40">
        <v>0</v>
      </c>
      <c r="C20" s="40">
        <v>4169.9461386000021</v>
      </c>
      <c r="D20" s="40">
        <v>0</v>
      </c>
      <c r="E20" s="40">
        <v>4642.3608959487747</v>
      </c>
      <c r="F20" s="40">
        <v>4169.9461386000021</v>
      </c>
      <c r="G20" s="40">
        <v>4642.3608959487747</v>
      </c>
    </row>
    <row r="21" spans="1:7" ht="11.25" customHeight="1" x14ac:dyDescent="0.2">
      <c r="A21" s="50">
        <v>44501</v>
      </c>
      <c r="B21" s="40">
        <v>0</v>
      </c>
      <c r="C21" s="40">
        <v>452.28331499999996</v>
      </c>
      <c r="D21" s="40">
        <v>0</v>
      </c>
      <c r="E21" s="40">
        <v>503.52266088286024</v>
      </c>
      <c r="F21" s="40">
        <v>452.28331499999996</v>
      </c>
      <c r="G21" s="40">
        <v>503.52266088286024</v>
      </c>
    </row>
    <row r="22" spans="1:7" ht="11.25" customHeight="1" x14ac:dyDescent="0.2">
      <c r="A22" s="50">
        <v>44531</v>
      </c>
      <c r="B22" s="40">
        <v>0</v>
      </c>
      <c r="C22" s="40">
        <v>492.24942360000028</v>
      </c>
      <c r="D22" s="40">
        <v>0</v>
      </c>
      <c r="E22" s="40">
        <v>548.01654487105361</v>
      </c>
      <c r="F22" s="40">
        <v>492.24942360000028</v>
      </c>
      <c r="G22" s="40">
        <v>548.01654487105361</v>
      </c>
    </row>
    <row r="23" spans="1:7" ht="11.25" customHeight="1" x14ac:dyDescent="0.2">
      <c r="A23" s="50">
        <v>44562</v>
      </c>
      <c r="B23" s="40">
        <v>0</v>
      </c>
      <c r="C23" s="40">
        <v>532.52802900000063</v>
      </c>
      <c r="D23" s="40">
        <v>0</v>
      </c>
      <c r="E23" s="40">
        <v>592.85832853857391</v>
      </c>
      <c r="F23" s="40">
        <v>532.52802900000063</v>
      </c>
      <c r="G23" s="40">
        <v>592.85832853857391</v>
      </c>
    </row>
    <row r="24" spans="1:7" ht="11.25" customHeight="1" x14ac:dyDescent="0.2">
      <c r="A24" s="50">
        <v>44593</v>
      </c>
      <c r="B24" s="40">
        <v>0</v>
      </c>
      <c r="C24" s="40">
        <v>304.66205879999984</v>
      </c>
      <c r="D24" s="40">
        <v>0</v>
      </c>
      <c r="E24" s="40">
        <v>339.17733736657158</v>
      </c>
      <c r="F24" s="40">
        <v>304.66205879999984</v>
      </c>
      <c r="G24" s="40">
        <v>339.17733736657158</v>
      </c>
    </row>
    <row r="25" spans="1:7" ht="11.25" customHeight="1" x14ac:dyDescent="0.2">
      <c r="A25" s="50">
        <v>44621</v>
      </c>
      <c r="B25" s="40">
        <v>0</v>
      </c>
      <c r="C25" s="40">
        <v>371.4136074000005</v>
      </c>
      <c r="D25" s="40">
        <v>0</v>
      </c>
      <c r="E25" s="40">
        <v>413.49119386849429</v>
      </c>
      <c r="F25" s="40">
        <v>371.4136074000005</v>
      </c>
      <c r="G25" s="40">
        <v>413.49119386849429</v>
      </c>
    </row>
    <row r="26" spans="1:7" ht="11.25" customHeight="1" x14ac:dyDescent="0.2">
      <c r="A26" s="50">
        <v>44652</v>
      </c>
      <c r="B26" s="40">
        <v>0</v>
      </c>
      <c r="C26" s="40">
        <v>365.34224099999972</v>
      </c>
      <c r="D26" s="40">
        <v>0</v>
      </c>
      <c r="E26" s="40">
        <v>406.73200009871488</v>
      </c>
      <c r="F26" s="40">
        <v>365.34224099999972</v>
      </c>
      <c r="G26" s="40">
        <v>406.73200009871488</v>
      </c>
    </row>
    <row r="27" spans="1:7" ht="11.25" customHeight="1" x14ac:dyDescent="0.2">
      <c r="A27" s="50">
        <v>44682</v>
      </c>
      <c r="B27" s="40">
        <v>0</v>
      </c>
      <c r="C27" s="40">
        <v>384.35990339999944</v>
      </c>
      <c r="D27" s="40">
        <v>0</v>
      </c>
      <c r="E27" s="40">
        <v>427.90418058346205</v>
      </c>
      <c r="F27" s="40">
        <v>384.35990339999944</v>
      </c>
      <c r="G27" s="40">
        <v>427.90418058346205</v>
      </c>
    </row>
    <row r="28" spans="1:7" ht="11.25" customHeight="1" x14ac:dyDescent="0.2">
      <c r="A28" s="50">
        <v>44713</v>
      </c>
      <c r="B28" s="40">
        <v>0</v>
      </c>
      <c r="C28" s="40">
        <v>381.0228840000002</v>
      </c>
      <c r="D28" s="40">
        <v>0</v>
      </c>
      <c r="E28" s="40">
        <v>424.18910900779417</v>
      </c>
      <c r="F28" s="40">
        <v>381.0228840000002</v>
      </c>
      <c r="G28" s="40">
        <v>424.18910900779417</v>
      </c>
    </row>
    <row r="29" spans="1:7" ht="11.25" customHeight="1" x14ac:dyDescent="0.2">
      <c r="A29" s="50">
        <v>44743</v>
      </c>
      <c r="B29" s="40">
        <v>0</v>
      </c>
      <c r="C29" s="40">
        <v>443.04233820000093</v>
      </c>
      <c r="D29" s="40">
        <v>0</v>
      </c>
      <c r="E29" s="40">
        <v>493.23477036562485</v>
      </c>
      <c r="F29" s="40">
        <v>443.04233820000093</v>
      </c>
      <c r="G29" s="40">
        <v>493.23477036562485</v>
      </c>
    </row>
    <row r="30" spans="1:7" ht="11.25" customHeight="1" x14ac:dyDescent="0.2">
      <c r="A30" s="50">
        <v>44774</v>
      </c>
      <c r="B30" s="40">
        <v>0</v>
      </c>
      <c r="C30" s="40">
        <v>443.04233820000093</v>
      </c>
      <c r="D30" s="40">
        <v>0</v>
      </c>
      <c r="E30" s="40">
        <v>493.23477036562485</v>
      </c>
      <c r="F30" s="40">
        <v>443.04233820000093</v>
      </c>
      <c r="G30" s="40">
        <v>493.23477036562485</v>
      </c>
    </row>
    <row r="31" spans="1:7" ht="11.25" customHeight="1" x14ac:dyDescent="0.2">
      <c r="A31" s="49" t="s">
        <v>25</v>
      </c>
      <c r="B31" s="40">
        <v>6178.6725000000006</v>
      </c>
      <c r="C31" s="40">
        <v>0</v>
      </c>
      <c r="D31" s="40">
        <v>6008.3844354867688</v>
      </c>
      <c r="E31" s="40">
        <v>0</v>
      </c>
      <c r="F31" s="40">
        <v>6178.6725000000006</v>
      </c>
      <c r="G31" s="40">
        <v>6008.3844354867688</v>
      </c>
    </row>
    <row r="32" spans="1:7" ht="11.25" customHeight="1" x14ac:dyDescent="0.2">
      <c r="A32" s="50">
        <v>44501</v>
      </c>
      <c r="B32" s="40">
        <v>617.25</v>
      </c>
      <c r="C32" s="40">
        <v>0</v>
      </c>
      <c r="D32" s="40">
        <v>600.23820534333345</v>
      </c>
      <c r="E32" s="40">
        <v>0</v>
      </c>
      <c r="F32" s="40">
        <v>617.25</v>
      </c>
      <c r="G32" s="40">
        <v>600.23820534333345</v>
      </c>
    </row>
    <row r="33" spans="1:7" ht="11.25" customHeight="1" x14ac:dyDescent="0.2">
      <c r="A33" s="50">
        <v>44531</v>
      </c>
      <c r="B33" s="40">
        <v>617.25</v>
      </c>
      <c r="C33" s="40">
        <v>0</v>
      </c>
      <c r="D33" s="40">
        <v>600.23820534333345</v>
      </c>
      <c r="E33" s="40">
        <v>0</v>
      </c>
      <c r="F33" s="40">
        <v>617.25</v>
      </c>
      <c r="G33" s="40">
        <v>600.23820534333345</v>
      </c>
    </row>
    <row r="34" spans="1:7" ht="11.25" customHeight="1" x14ac:dyDescent="0.2">
      <c r="A34" s="50">
        <v>44562</v>
      </c>
      <c r="B34" s="40">
        <v>623.42250000000024</v>
      </c>
      <c r="C34" s="40">
        <v>0</v>
      </c>
      <c r="D34" s="40">
        <v>606.24058739676695</v>
      </c>
      <c r="E34" s="40">
        <v>0</v>
      </c>
      <c r="F34" s="40">
        <v>623.42250000000024</v>
      </c>
      <c r="G34" s="40">
        <v>606.24058739676695</v>
      </c>
    </row>
    <row r="35" spans="1:7" ht="11.25" customHeight="1" x14ac:dyDescent="0.2">
      <c r="A35" s="50">
        <v>44593</v>
      </c>
      <c r="B35" s="40">
        <v>617.25</v>
      </c>
      <c r="C35" s="40">
        <v>0</v>
      </c>
      <c r="D35" s="40">
        <v>600.23820534333345</v>
      </c>
      <c r="E35" s="40">
        <v>0</v>
      </c>
      <c r="F35" s="40">
        <v>617.25</v>
      </c>
      <c r="G35" s="40">
        <v>600.23820534333345</v>
      </c>
    </row>
    <row r="36" spans="1:7" ht="11.25" customHeight="1" x14ac:dyDescent="0.2">
      <c r="A36" s="50">
        <v>44621</v>
      </c>
      <c r="B36" s="40">
        <v>617.25</v>
      </c>
      <c r="C36" s="40">
        <v>0</v>
      </c>
      <c r="D36" s="40">
        <v>600.23820534333345</v>
      </c>
      <c r="E36" s="40">
        <v>0</v>
      </c>
      <c r="F36" s="40">
        <v>617.25</v>
      </c>
      <c r="G36" s="40">
        <v>600.23820534333345</v>
      </c>
    </row>
    <row r="37" spans="1:7" ht="11.25" customHeight="1" x14ac:dyDescent="0.2">
      <c r="A37" s="50">
        <v>44652</v>
      </c>
      <c r="B37" s="40">
        <v>617.25</v>
      </c>
      <c r="C37" s="40">
        <v>0</v>
      </c>
      <c r="D37" s="40">
        <v>600.23820534333345</v>
      </c>
      <c r="E37" s="40">
        <v>0</v>
      </c>
      <c r="F37" s="40">
        <v>617.25</v>
      </c>
      <c r="G37" s="40">
        <v>600.23820534333345</v>
      </c>
    </row>
    <row r="38" spans="1:7" ht="11.25" customHeight="1" x14ac:dyDescent="0.2">
      <c r="A38" s="50">
        <v>44682</v>
      </c>
      <c r="B38" s="40">
        <v>617.25</v>
      </c>
      <c r="C38" s="40">
        <v>0</v>
      </c>
      <c r="D38" s="40">
        <v>600.23820534333345</v>
      </c>
      <c r="E38" s="40">
        <v>0</v>
      </c>
      <c r="F38" s="40">
        <v>617.25</v>
      </c>
      <c r="G38" s="40">
        <v>600.23820534333345</v>
      </c>
    </row>
    <row r="39" spans="1:7" ht="11.25" customHeight="1" x14ac:dyDescent="0.2">
      <c r="A39" s="50">
        <v>44713</v>
      </c>
      <c r="B39" s="40">
        <v>617.25</v>
      </c>
      <c r="C39" s="40">
        <v>0</v>
      </c>
      <c r="D39" s="40">
        <v>600.23820534333345</v>
      </c>
      <c r="E39" s="40">
        <v>0</v>
      </c>
      <c r="F39" s="40">
        <v>617.25</v>
      </c>
      <c r="G39" s="40">
        <v>600.23820534333345</v>
      </c>
    </row>
    <row r="40" spans="1:7" ht="11.25" customHeight="1" x14ac:dyDescent="0.2">
      <c r="A40" s="50">
        <v>44743</v>
      </c>
      <c r="B40" s="40">
        <v>617.25</v>
      </c>
      <c r="C40" s="40">
        <v>0</v>
      </c>
      <c r="D40" s="40">
        <v>600.23820534333345</v>
      </c>
      <c r="E40" s="40">
        <v>0</v>
      </c>
      <c r="F40" s="40">
        <v>617.25</v>
      </c>
      <c r="G40" s="40">
        <v>600.23820534333345</v>
      </c>
    </row>
    <row r="41" spans="1:7" ht="11.25" customHeight="1" x14ac:dyDescent="0.2">
      <c r="A41" s="50">
        <v>44774</v>
      </c>
      <c r="B41" s="40">
        <v>617.25</v>
      </c>
      <c r="C41" s="40">
        <v>0</v>
      </c>
      <c r="D41" s="40">
        <v>600.23820534333345</v>
      </c>
      <c r="E41" s="40">
        <v>0</v>
      </c>
      <c r="F41" s="40">
        <v>617.25</v>
      </c>
      <c r="G41" s="40">
        <v>600.23820534333345</v>
      </c>
    </row>
    <row r="42" spans="1:7" ht="11.25" customHeight="1" x14ac:dyDescent="0.2">
      <c r="A42" s="49" t="s">
        <v>37</v>
      </c>
      <c r="B42" s="40">
        <v>0</v>
      </c>
      <c r="C42" s="40">
        <v>7749.2342898000015</v>
      </c>
      <c r="D42" s="40">
        <v>0</v>
      </c>
      <c r="E42" s="40">
        <v>7413.6340807484585</v>
      </c>
      <c r="F42" s="40">
        <v>7749.2342898000015</v>
      </c>
      <c r="G42" s="40">
        <v>7413.6340807484585</v>
      </c>
    </row>
    <row r="43" spans="1:7" ht="11.25" customHeight="1" x14ac:dyDescent="0.2">
      <c r="A43" s="50">
        <v>44501</v>
      </c>
      <c r="B43" s="40">
        <v>0</v>
      </c>
      <c r="C43" s="40">
        <v>815.45480459999874</v>
      </c>
      <c r="D43" s="40">
        <v>0</v>
      </c>
      <c r="E43" s="40">
        <v>780.13946986349947</v>
      </c>
      <c r="F43" s="40">
        <v>815.45480459999874</v>
      </c>
      <c r="G43" s="40">
        <v>780.13946986349947</v>
      </c>
    </row>
    <row r="44" spans="1:7" ht="11.25" customHeight="1" x14ac:dyDescent="0.2">
      <c r="A44" s="50">
        <v>44531</v>
      </c>
      <c r="B44" s="40">
        <v>0</v>
      </c>
      <c r="C44" s="40">
        <v>1035.3647826000024</v>
      </c>
      <c r="D44" s="40">
        <v>0</v>
      </c>
      <c r="E44" s="40">
        <v>990.52568953728178</v>
      </c>
      <c r="F44" s="40">
        <v>1035.3647826000024</v>
      </c>
      <c r="G44" s="40">
        <v>990.52568953728178</v>
      </c>
    </row>
    <row r="45" spans="1:7" ht="11.25" customHeight="1" x14ac:dyDescent="0.2">
      <c r="A45" s="50">
        <v>44562</v>
      </c>
      <c r="B45" s="40">
        <v>0</v>
      </c>
      <c r="C45" s="40">
        <v>1016.9495567999982</v>
      </c>
      <c r="D45" s="40">
        <v>0</v>
      </c>
      <c r="E45" s="40">
        <v>972.90798171093695</v>
      </c>
      <c r="F45" s="40">
        <v>1016.9495567999982</v>
      </c>
      <c r="G45" s="40">
        <v>972.90798171093695</v>
      </c>
    </row>
    <row r="46" spans="1:7" ht="11.25" customHeight="1" x14ac:dyDescent="0.2">
      <c r="A46" s="50">
        <v>44593</v>
      </c>
      <c r="B46" s="40">
        <v>0</v>
      </c>
      <c r="C46" s="40">
        <v>606.62971979999895</v>
      </c>
      <c r="D46" s="40">
        <v>0</v>
      </c>
      <c r="E46" s="40">
        <v>580.35808402693556</v>
      </c>
      <c r="F46" s="40">
        <v>606.62971979999895</v>
      </c>
      <c r="G46" s="40">
        <v>580.35808402693556</v>
      </c>
    </row>
    <row r="47" spans="1:7" ht="11.25" customHeight="1" x14ac:dyDescent="0.2">
      <c r="A47" s="50">
        <v>44621</v>
      </c>
      <c r="B47" s="40">
        <v>0</v>
      </c>
      <c r="C47" s="40">
        <v>627.5479859999997</v>
      </c>
      <c r="D47" s="40">
        <v>0</v>
      </c>
      <c r="E47" s="40">
        <v>600.37043175200313</v>
      </c>
      <c r="F47" s="40">
        <v>627.5479859999997</v>
      </c>
      <c r="G47" s="40">
        <v>600.37043175200313</v>
      </c>
    </row>
    <row r="48" spans="1:7" ht="11.25" customHeight="1" x14ac:dyDescent="0.2">
      <c r="A48" s="50">
        <v>44652</v>
      </c>
      <c r="B48" s="40">
        <v>0</v>
      </c>
      <c r="C48" s="40">
        <v>598.40544419999935</v>
      </c>
      <c r="D48" s="40">
        <v>0</v>
      </c>
      <c r="E48" s="40">
        <v>572.48998150255068</v>
      </c>
      <c r="F48" s="40">
        <v>598.40544419999935</v>
      </c>
      <c r="G48" s="40">
        <v>572.48998150255068</v>
      </c>
    </row>
    <row r="49" spans="1:7" ht="11.25" customHeight="1" x14ac:dyDescent="0.2">
      <c r="A49" s="50">
        <v>44682</v>
      </c>
      <c r="B49" s="40">
        <v>0</v>
      </c>
      <c r="C49" s="40">
        <v>728.92112219999956</v>
      </c>
      <c r="D49" s="40">
        <v>0</v>
      </c>
      <c r="E49" s="40">
        <v>697.35334765040341</v>
      </c>
      <c r="F49" s="40">
        <v>728.92112219999956</v>
      </c>
      <c r="G49" s="40">
        <v>697.35334765040341</v>
      </c>
    </row>
    <row r="50" spans="1:7" ht="11.25" customHeight="1" x14ac:dyDescent="0.2">
      <c r="A50" s="50">
        <v>44713</v>
      </c>
      <c r="B50" s="40">
        <v>0</v>
      </c>
      <c r="C50" s="40">
        <v>696.20280840000089</v>
      </c>
      <c r="D50" s="40">
        <v>0</v>
      </c>
      <c r="E50" s="40">
        <v>666.05198325991569</v>
      </c>
      <c r="F50" s="40">
        <v>696.20280840000089</v>
      </c>
      <c r="G50" s="40">
        <v>666.05198325991569</v>
      </c>
    </row>
    <row r="51" spans="1:7" ht="11.25" customHeight="1" x14ac:dyDescent="0.2">
      <c r="A51" s="50">
        <v>44743</v>
      </c>
      <c r="B51" s="40">
        <v>0</v>
      </c>
      <c r="C51" s="40">
        <v>811.87903260000178</v>
      </c>
      <c r="D51" s="40">
        <v>0</v>
      </c>
      <c r="E51" s="40">
        <v>776.71855572246534</v>
      </c>
      <c r="F51" s="40">
        <v>811.87903260000178</v>
      </c>
      <c r="G51" s="40">
        <v>776.71855572246534</v>
      </c>
    </row>
    <row r="52" spans="1:7" ht="11.25" customHeight="1" x14ac:dyDescent="0.2">
      <c r="A52" s="50">
        <v>44774</v>
      </c>
      <c r="B52" s="40">
        <v>0</v>
      </c>
      <c r="C52" s="40">
        <v>811.87903260000178</v>
      </c>
      <c r="D52" s="40">
        <v>0</v>
      </c>
      <c r="E52" s="40">
        <v>776.71855572246534</v>
      </c>
      <c r="F52" s="40">
        <v>811.87903260000178</v>
      </c>
      <c r="G52" s="40">
        <v>776.71855572246534</v>
      </c>
    </row>
    <row r="53" spans="1:7" ht="11.25" customHeight="1" x14ac:dyDescent="0.2">
      <c r="A53" s="43" t="s">
        <v>33</v>
      </c>
      <c r="B53" s="40">
        <v>0</v>
      </c>
      <c r="C53" s="40">
        <v>2662.6945914000007</v>
      </c>
      <c r="D53" s="40">
        <v>0</v>
      </c>
      <c r="E53" s="40">
        <v>2640.454309113391</v>
      </c>
      <c r="F53" s="40">
        <v>2662.6945914000007</v>
      </c>
      <c r="G53" s="40">
        <v>2640.454309113391</v>
      </c>
    </row>
    <row r="54" spans="1:7" ht="11.25" customHeight="1" x14ac:dyDescent="0.2">
      <c r="A54" s="44" t="s">
        <v>23</v>
      </c>
      <c r="B54" s="40">
        <v>0</v>
      </c>
      <c r="C54" s="40">
        <v>2662.6945914000007</v>
      </c>
      <c r="D54" s="40">
        <v>0</v>
      </c>
      <c r="E54" s="40">
        <v>2640.454309113391</v>
      </c>
      <c r="F54" s="40">
        <v>2662.6945914000007</v>
      </c>
      <c r="G54" s="40">
        <v>2640.454309113391</v>
      </c>
    </row>
    <row r="55" spans="1:7" ht="11.25" customHeight="1" x14ac:dyDescent="0.2">
      <c r="A55" s="45" t="s">
        <v>48</v>
      </c>
      <c r="B55" s="40">
        <v>0</v>
      </c>
      <c r="C55" s="40">
        <v>2662.6945914000007</v>
      </c>
      <c r="D55" s="40">
        <v>0</v>
      </c>
      <c r="E55" s="40">
        <v>2640.454309113391</v>
      </c>
      <c r="F55" s="40">
        <v>2662.6945914000007</v>
      </c>
      <c r="G55" s="40">
        <v>2640.454309113391</v>
      </c>
    </row>
    <row r="56" spans="1:7" ht="11.25" customHeight="1" x14ac:dyDescent="0.2">
      <c r="A56" s="46" t="s">
        <v>49</v>
      </c>
      <c r="B56" s="40">
        <v>0</v>
      </c>
      <c r="C56" s="40">
        <v>2662.6945914000007</v>
      </c>
      <c r="D56" s="40">
        <v>0</v>
      </c>
      <c r="E56" s="40">
        <v>2640.454309113391</v>
      </c>
      <c r="F56" s="40">
        <v>2662.6945914000007</v>
      </c>
      <c r="G56" s="40">
        <v>2640.454309113391</v>
      </c>
    </row>
    <row r="57" spans="1:7" ht="11.25" customHeight="1" x14ac:dyDescent="0.2">
      <c r="A57" s="47" t="s">
        <v>25</v>
      </c>
      <c r="B57" s="40">
        <v>0</v>
      </c>
      <c r="C57" s="40">
        <v>2662.6945914000007</v>
      </c>
      <c r="D57" s="40">
        <v>0</v>
      </c>
      <c r="E57" s="40">
        <v>2640.454309113391</v>
      </c>
      <c r="F57" s="40">
        <v>2662.6945914000007</v>
      </c>
      <c r="G57" s="40">
        <v>2640.454309113391</v>
      </c>
    </row>
    <row r="58" spans="1:7" ht="11.25" customHeight="1" x14ac:dyDescent="0.2">
      <c r="A58" s="48" t="s">
        <v>25</v>
      </c>
      <c r="B58" s="40">
        <v>0</v>
      </c>
      <c r="C58" s="40">
        <v>2662.6945914000007</v>
      </c>
      <c r="D58" s="40">
        <v>0</v>
      </c>
      <c r="E58" s="40">
        <v>2640.454309113391</v>
      </c>
      <c r="F58" s="40">
        <v>2662.6945914000007</v>
      </c>
      <c r="G58" s="40">
        <v>2640.454309113391</v>
      </c>
    </row>
    <row r="59" spans="1:7" ht="11.25" customHeight="1" x14ac:dyDescent="0.2">
      <c r="A59" s="49" t="s">
        <v>25</v>
      </c>
      <c r="B59" s="40">
        <v>0</v>
      </c>
      <c r="C59" s="40">
        <v>2662.6945914000007</v>
      </c>
      <c r="D59" s="40">
        <v>0</v>
      </c>
      <c r="E59" s="40">
        <v>2640.454309113391</v>
      </c>
      <c r="F59" s="40">
        <v>2662.6945914000007</v>
      </c>
      <c r="G59" s="40">
        <v>2640.454309113391</v>
      </c>
    </row>
    <row r="60" spans="1:7" ht="11.25" customHeight="1" x14ac:dyDescent="0.2">
      <c r="A60" s="50">
        <v>44440</v>
      </c>
      <c r="B60" s="40">
        <v>0</v>
      </c>
      <c r="C60" s="40">
        <v>197.58171060000001</v>
      </c>
      <c r="D60" s="40">
        <v>0</v>
      </c>
      <c r="E60" s="40">
        <v>195.93140003392617</v>
      </c>
      <c r="F60" s="40">
        <v>197.58171060000001</v>
      </c>
      <c r="G60" s="40">
        <v>195.93140003392617</v>
      </c>
    </row>
    <row r="61" spans="1:7" ht="11.25" customHeight="1" x14ac:dyDescent="0.2">
      <c r="A61" s="50">
        <v>44470</v>
      </c>
      <c r="B61" s="40">
        <v>0</v>
      </c>
      <c r="C61" s="40">
        <v>204.01175520000007</v>
      </c>
      <c r="D61" s="40">
        <v>0</v>
      </c>
      <c r="E61" s="40">
        <v>202.3077373828275</v>
      </c>
      <c r="F61" s="40">
        <v>204.01175520000007</v>
      </c>
      <c r="G61" s="40">
        <v>202.3077373828275</v>
      </c>
    </row>
    <row r="62" spans="1:7" ht="11.25" customHeight="1" x14ac:dyDescent="0.2">
      <c r="A62" s="50">
        <v>44501</v>
      </c>
      <c r="B62" s="40">
        <v>0</v>
      </c>
      <c r="C62" s="40">
        <v>201.34350540000005</v>
      </c>
      <c r="D62" s="40">
        <v>0</v>
      </c>
      <c r="E62" s="40">
        <v>199.66177426525618</v>
      </c>
      <c r="F62" s="40">
        <v>201.34350540000005</v>
      </c>
      <c r="G62" s="40">
        <v>199.66177426525618</v>
      </c>
    </row>
    <row r="63" spans="1:7" ht="11.25" customHeight="1" x14ac:dyDescent="0.2">
      <c r="A63" s="50">
        <v>44531</v>
      </c>
      <c r="B63" s="40">
        <v>0</v>
      </c>
      <c r="C63" s="40">
        <v>192.42017819999987</v>
      </c>
      <c r="D63" s="40">
        <v>0</v>
      </c>
      <c r="E63" s="40">
        <v>190.81297957698484</v>
      </c>
      <c r="F63" s="40">
        <v>192.42017819999987</v>
      </c>
      <c r="G63" s="40">
        <v>190.81297957698484</v>
      </c>
    </row>
    <row r="64" spans="1:7" ht="11.25" customHeight="1" x14ac:dyDescent="0.2">
      <c r="A64" s="50">
        <v>44562</v>
      </c>
      <c r="B64" s="40">
        <v>0</v>
      </c>
      <c r="C64" s="40">
        <v>217.92164759999989</v>
      </c>
      <c r="D64" s="40">
        <v>0</v>
      </c>
      <c r="E64" s="40">
        <v>216.10144674983826</v>
      </c>
      <c r="F64" s="40">
        <v>217.92164759999989</v>
      </c>
      <c r="G64" s="40">
        <v>216.10144674983826</v>
      </c>
    </row>
    <row r="65" spans="1:7" ht="11.25" customHeight="1" x14ac:dyDescent="0.2">
      <c r="A65" s="50">
        <v>44593</v>
      </c>
      <c r="B65" s="40">
        <v>0</v>
      </c>
      <c r="C65" s="40">
        <v>250.1593542</v>
      </c>
      <c r="D65" s="40">
        <v>0</v>
      </c>
      <c r="E65" s="40">
        <v>248.06988638344555</v>
      </c>
      <c r="F65" s="40">
        <v>250.1593542</v>
      </c>
      <c r="G65" s="40">
        <v>248.06988638344555</v>
      </c>
    </row>
    <row r="66" spans="1:7" ht="11.25" customHeight="1" x14ac:dyDescent="0.2">
      <c r="A66" s="50">
        <v>44621</v>
      </c>
      <c r="B66" s="40">
        <v>0</v>
      </c>
      <c r="C66" s="40">
        <v>231.61283100000023</v>
      </c>
      <c r="D66" s="40">
        <v>0</v>
      </c>
      <c r="E66" s="40">
        <v>229.67827389409783</v>
      </c>
      <c r="F66" s="40">
        <v>231.61283100000023</v>
      </c>
      <c r="G66" s="40">
        <v>229.67827389409783</v>
      </c>
    </row>
    <row r="67" spans="1:7" ht="11.25" customHeight="1" x14ac:dyDescent="0.2">
      <c r="A67" s="50">
        <v>44652</v>
      </c>
      <c r="B67" s="40">
        <v>0</v>
      </c>
      <c r="C67" s="40">
        <v>216.52191000000045</v>
      </c>
      <c r="D67" s="40">
        <v>0</v>
      </c>
      <c r="E67" s="40">
        <v>214.71340052422764</v>
      </c>
      <c r="F67" s="40">
        <v>216.52191000000045</v>
      </c>
      <c r="G67" s="40">
        <v>214.71340052422764</v>
      </c>
    </row>
    <row r="68" spans="1:7" ht="11.25" customHeight="1" x14ac:dyDescent="0.2">
      <c r="A68" s="50">
        <v>44682</v>
      </c>
      <c r="B68" s="40">
        <v>0</v>
      </c>
      <c r="C68" s="40">
        <v>196.00700580000006</v>
      </c>
      <c r="D68" s="40">
        <v>0</v>
      </c>
      <c r="E68" s="40">
        <v>194.36984803011364</v>
      </c>
      <c r="F68" s="40">
        <v>196.00700580000006</v>
      </c>
      <c r="G68" s="40">
        <v>194.36984803011364</v>
      </c>
    </row>
    <row r="69" spans="1:7" ht="11.25" customHeight="1" x14ac:dyDescent="0.2">
      <c r="A69" s="50">
        <v>44713</v>
      </c>
      <c r="B69" s="40">
        <v>0</v>
      </c>
      <c r="C69" s="40">
        <v>268.61839379999981</v>
      </c>
      <c r="D69" s="40">
        <v>0</v>
      </c>
      <c r="E69" s="40">
        <v>266.37474598369261</v>
      </c>
      <c r="F69" s="40">
        <v>268.61839379999981</v>
      </c>
      <c r="G69" s="40">
        <v>266.37474598369261</v>
      </c>
    </row>
    <row r="70" spans="1:7" ht="11.25" customHeight="1" x14ac:dyDescent="0.2">
      <c r="A70" s="50">
        <v>44743</v>
      </c>
      <c r="B70" s="40">
        <v>0</v>
      </c>
      <c r="C70" s="40">
        <v>243.24814980000005</v>
      </c>
      <c r="D70" s="40">
        <v>0</v>
      </c>
      <c r="E70" s="40">
        <v>241.21640814449046</v>
      </c>
      <c r="F70" s="40">
        <v>243.24814980000005</v>
      </c>
      <c r="G70" s="40">
        <v>241.21640814449046</v>
      </c>
    </row>
    <row r="71" spans="1:7" ht="11.25" customHeight="1" x14ac:dyDescent="0.2">
      <c r="A71" s="50">
        <v>44774</v>
      </c>
      <c r="B71" s="40">
        <v>0</v>
      </c>
      <c r="C71" s="40">
        <v>243.24814980000005</v>
      </c>
      <c r="D71" s="40">
        <v>0</v>
      </c>
      <c r="E71" s="40">
        <v>241.21640814449046</v>
      </c>
      <c r="F71" s="40">
        <v>243.24814980000005</v>
      </c>
      <c r="G71" s="40">
        <v>241.21640814449046</v>
      </c>
    </row>
    <row r="72" spans="1:7" ht="11.25" customHeight="1" x14ac:dyDescent="0.2">
      <c r="A72" s="42" t="s">
        <v>626</v>
      </c>
      <c r="B72" s="40">
        <v>0</v>
      </c>
      <c r="C72" s="40">
        <v>62810.592519999998</v>
      </c>
      <c r="D72" s="40">
        <v>0</v>
      </c>
      <c r="E72" s="40">
        <v>58435.485028473078</v>
      </c>
      <c r="F72" s="40">
        <v>62810.592519999998</v>
      </c>
      <c r="G72" s="40">
        <v>58435.485028473078</v>
      </c>
    </row>
    <row r="73" spans="1:7" ht="11.25" customHeight="1" x14ac:dyDescent="0.2">
      <c r="A73" s="43" t="s">
        <v>22</v>
      </c>
      <c r="B73" s="40">
        <v>0</v>
      </c>
      <c r="C73" s="40">
        <v>62810.592519999998</v>
      </c>
      <c r="D73" s="40">
        <v>0</v>
      </c>
      <c r="E73" s="40">
        <v>58435.485028473078</v>
      </c>
      <c r="F73" s="40">
        <v>62810.592519999998</v>
      </c>
      <c r="G73" s="40">
        <v>58435.485028473078</v>
      </c>
    </row>
    <row r="74" spans="1:7" ht="11.25" customHeight="1" x14ac:dyDescent="0.2">
      <c r="A74" s="44" t="s">
        <v>23</v>
      </c>
      <c r="B74" s="40">
        <v>0</v>
      </c>
      <c r="C74" s="40">
        <v>62810.592519999998</v>
      </c>
      <c r="D74" s="40">
        <v>0</v>
      </c>
      <c r="E74" s="40">
        <v>58435.485028473078</v>
      </c>
      <c r="F74" s="40">
        <v>62810.592519999998</v>
      </c>
      <c r="G74" s="40">
        <v>58435.485028473078</v>
      </c>
    </row>
    <row r="75" spans="1:7" ht="11.25" customHeight="1" x14ac:dyDescent="0.2">
      <c r="A75" s="45" t="s">
        <v>24</v>
      </c>
      <c r="B75" s="40">
        <v>0</v>
      </c>
      <c r="C75" s="40">
        <v>62810.592519999998</v>
      </c>
      <c r="D75" s="40">
        <v>0</v>
      </c>
      <c r="E75" s="40">
        <v>58435.485028473078</v>
      </c>
      <c r="F75" s="40">
        <v>62810.592519999998</v>
      </c>
      <c r="G75" s="40">
        <v>58435.485028473078</v>
      </c>
    </row>
    <row r="76" spans="1:7" ht="11.25" customHeight="1" x14ac:dyDescent="0.2">
      <c r="A76" s="46" t="s">
        <v>29</v>
      </c>
      <c r="B76" s="40">
        <v>0</v>
      </c>
      <c r="C76" s="40">
        <v>24579.763800000001</v>
      </c>
      <c r="D76" s="40">
        <v>0</v>
      </c>
      <c r="E76" s="40">
        <v>22867.157681586483</v>
      </c>
      <c r="F76" s="40">
        <v>24579.763800000001</v>
      </c>
      <c r="G76" s="40">
        <v>22867.157681586483</v>
      </c>
    </row>
    <row r="77" spans="1:7" ht="11.25" customHeight="1" x14ac:dyDescent="0.2">
      <c r="A77" s="47" t="s">
        <v>25</v>
      </c>
      <c r="B77" s="40">
        <v>0</v>
      </c>
      <c r="C77" s="40">
        <v>24579.763800000001</v>
      </c>
      <c r="D77" s="40">
        <v>0</v>
      </c>
      <c r="E77" s="40">
        <v>22867.157681586483</v>
      </c>
      <c r="F77" s="40">
        <v>24579.763800000001</v>
      </c>
      <c r="G77" s="40">
        <v>22867.157681586483</v>
      </c>
    </row>
    <row r="78" spans="1:7" ht="11.25" customHeight="1" x14ac:dyDescent="0.2">
      <c r="A78" s="48" t="s">
        <v>25</v>
      </c>
      <c r="B78" s="40">
        <v>0</v>
      </c>
      <c r="C78" s="40">
        <v>24579.763800000001</v>
      </c>
      <c r="D78" s="40">
        <v>0</v>
      </c>
      <c r="E78" s="40">
        <v>22867.157681586483</v>
      </c>
      <c r="F78" s="40">
        <v>24579.763800000001</v>
      </c>
      <c r="G78" s="40">
        <v>22867.157681586483</v>
      </c>
    </row>
    <row r="79" spans="1:7" ht="11.25" customHeight="1" x14ac:dyDescent="0.2">
      <c r="A79" s="49" t="s">
        <v>25</v>
      </c>
      <c r="B79" s="40">
        <v>0</v>
      </c>
      <c r="C79" s="40">
        <v>24579.763800000001</v>
      </c>
      <c r="D79" s="40">
        <v>0</v>
      </c>
      <c r="E79" s="40">
        <v>22867.157681586483</v>
      </c>
      <c r="F79" s="40">
        <v>24579.763800000001</v>
      </c>
      <c r="G79" s="40">
        <v>22867.157681586483</v>
      </c>
    </row>
    <row r="80" spans="1:7" ht="11.25" customHeight="1" x14ac:dyDescent="0.2">
      <c r="A80" s="50">
        <v>44440</v>
      </c>
      <c r="B80" s="40">
        <v>0</v>
      </c>
      <c r="C80" s="40">
        <v>1700.0787</v>
      </c>
      <c r="D80" s="40">
        <v>0</v>
      </c>
      <c r="E80" s="40">
        <v>1581.6249505215574</v>
      </c>
      <c r="F80" s="40">
        <v>1700.0787</v>
      </c>
      <c r="G80" s="40">
        <v>1581.6249505215574</v>
      </c>
    </row>
    <row r="81" spans="1:7" ht="11.25" customHeight="1" x14ac:dyDescent="0.2">
      <c r="A81" s="50">
        <v>44470</v>
      </c>
      <c r="B81" s="40">
        <v>0</v>
      </c>
      <c r="C81" s="40">
        <v>1751.9894999999999</v>
      </c>
      <c r="D81" s="40">
        <v>0</v>
      </c>
      <c r="E81" s="40">
        <v>1629.9188421405361</v>
      </c>
      <c r="F81" s="40">
        <v>1751.9894999999999</v>
      </c>
      <c r="G81" s="40">
        <v>1629.9188421405361</v>
      </c>
    </row>
    <row r="82" spans="1:7" ht="11.25" customHeight="1" x14ac:dyDescent="0.2">
      <c r="A82" s="50">
        <v>44501</v>
      </c>
      <c r="B82" s="40">
        <v>0</v>
      </c>
      <c r="C82" s="40">
        <v>1764.9671999999998</v>
      </c>
      <c r="D82" s="40">
        <v>0</v>
      </c>
      <c r="E82" s="40">
        <v>1641.992315045281</v>
      </c>
      <c r="F82" s="40">
        <v>1764.9671999999998</v>
      </c>
      <c r="G82" s="40">
        <v>1641.992315045281</v>
      </c>
    </row>
    <row r="83" spans="1:7" ht="11.25" customHeight="1" x14ac:dyDescent="0.2">
      <c r="A83" s="50">
        <v>44531</v>
      </c>
      <c r="B83" s="40">
        <v>0</v>
      </c>
      <c r="C83" s="40">
        <v>1803.9002999999998</v>
      </c>
      <c r="D83" s="40">
        <v>0</v>
      </c>
      <c r="E83" s="40">
        <v>1678.212733759515</v>
      </c>
      <c r="F83" s="40">
        <v>1803.9002999999998</v>
      </c>
      <c r="G83" s="40">
        <v>1678.212733759515</v>
      </c>
    </row>
    <row r="84" spans="1:7" ht="11.25" customHeight="1" x14ac:dyDescent="0.2">
      <c r="A84" s="50">
        <v>44562</v>
      </c>
      <c r="B84" s="40">
        <v>0</v>
      </c>
      <c r="C84" s="40">
        <v>1829.8557000000001</v>
      </c>
      <c r="D84" s="40">
        <v>0</v>
      </c>
      <c r="E84" s="40">
        <v>1702.3596795690046</v>
      </c>
      <c r="F84" s="40">
        <v>1829.8557000000001</v>
      </c>
      <c r="G84" s="40">
        <v>1702.3596795690046</v>
      </c>
    </row>
    <row r="85" spans="1:7" ht="11.25" customHeight="1" x14ac:dyDescent="0.2">
      <c r="A85" s="50">
        <v>44593</v>
      </c>
      <c r="B85" s="40">
        <v>0</v>
      </c>
      <c r="C85" s="40">
        <v>1907.7219</v>
      </c>
      <c r="D85" s="40">
        <v>0</v>
      </c>
      <c r="E85" s="40">
        <v>1774.8005169974729</v>
      </c>
      <c r="F85" s="40">
        <v>1907.7219</v>
      </c>
      <c r="G85" s="40">
        <v>1774.8005169974729</v>
      </c>
    </row>
    <row r="86" spans="1:7" ht="11.25" customHeight="1" x14ac:dyDescent="0.2">
      <c r="A86" s="50">
        <v>44621</v>
      </c>
      <c r="B86" s="40">
        <v>0</v>
      </c>
      <c r="C86" s="40">
        <v>1972.6103999999998</v>
      </c>
      <c r="D86" s="40">
        <v>0</v>
      </c>
      <c r="E86" s="40">
        <v>1835.1678815211965</v>
      </c>
      <c r="F86" s="40">
        <v>1972.6103999999998</v>
      </c>
      <c r="G86" s="40">
        <v>1835.1678815211965</v>
      </c>
    </row>
    <row r="87" spans="1:7" ht="11.25" customHeight="1" x14ac:dyDescent="0.2">
      <c r="A87" s="50">
        <v>44652</v>
      </c>
      <c r="B87" s="40">
        <v>0</v>
      </c>
      <c r="C87" s="40">
        <v>2245.1421</v>
      </c>
      <c r="D87" s="40">
        <v>0</v>
      </c>
      <c r="E87" s="40">
        <v>2088.7108125208356</v>
      </c>
      <c r="F87" s="40">
        <v>2245.1421</v>
      </c>
      <c r="G87" s="40">
        <v>2088.7108125208356</v>
      </c>
    </row>
    <row r="88" spans="1:7" ht="11.25" customHeight="1" x14ac:dyDescent="0.2">
      <c r="A88" s="50">
        <v>44682</v>
      </c>
      <c r="B88" s="40">
        <v>0</v>
      </c>
      <c r="C88" s="40">
        <v>2413.8521999999998</v>
      </c>
      <c r="D88" s="40">
        <v>0</v>
      </c>
      <c r="E88" s="40">
        <v>2245.6659602825166</v>
      </c>
      <c r="F88" s="40">
        <v>2413.8521999999998</v>
      </c>
      <c r="G88" s="40">
        <v>2245.6659602825166</v>
      </c>
    </row>
    <row r="89" spans="1:7" ht="11.25" customHeight="1" x14ac:dyDescent="0.2">
      <c r="A89" s="50">
        <v>44713</v>
      </c>
      <c r="B89" s="40">
        <v>0</v>
      </c>
      <c r="C89" s="40">
        <v>2413.8521999999998</v>
      </c>
      <c r="D89" s="40">
        <v>0</v>
      </c>
      <c r="E89" s="40">
        <v>2245.6659602825166</v>
      </c>
      <c r="F89" s="40">
        <v>2413.8521999999998</v>
      </c>
      <c r="G89" s="40">
        <v>2245.6659602825166</v>
      </c>
    </row>
    <row r="90" spans="1:7" ht="11.25" customHeight="1" x14ac:dyDescent="0.2">
      <c r="A90" s="50">
        <v>44743</v>
      </c>
      <c r="B90" s="40">
        <v>0</v>
      </c>
      <c r="C90" s="40">
        <v>2387.8967999999995</v>
      </c>
      <c r="D90" s="40">
        <v>0</v>
      </c>
      <c r="E90" s="40">
        <v>2221.5190144730268</v>
      </c>
      <c r="F90" s="40">
        <v>2387.8967999999995</v>
      </c>
      <c r="G90" s="40">
        <v>2221.5190144730268</v>
      </c>
    </row>
    <row r="91" spans="1:7" ht="11.25" customHeight="1" x14ac:dyDescent="0.2">
      <c r="A91" s="50">
        <v>44774</v>
      </c>
      <c r="B91" s="40">
        <v>0</v>
      </c>
      <c r="C91" s="40">
        <v>2387.8967999999995</v>
      </c>
      <c r="D91" s="40">
        <v>0</v>
      </c>
      <c r="E91" s="40">
        <v>2221.5190144730268</v>
      </c>
      <c r="F91" s="40">
        <v>2387.8967999999995</v>
      </c>
      <c r="G91" s="40">
        <v>2221.5190144730268</v>
      </c>
    </row>
    <row r="92" spans="1:7" ht="11.25" customHeight="1" x14ac:dyDescent="0.2">
      <c r="A92" s="46" t="s">
        <v>30</v>
      </c>
      <c r="B92" s="40">
        <v>0</v>
      </c>
      <c r="C92" s="40">
        <v>30497.017599999999</v>
      </c>
      <c r="D92" s="40">
        <v>0</v>
      </c>
      <c r="E92" s="40">
        <v>28372.042173693422</v>
      </c>
      <c r="F92" s="40">
        <v>30497.017599999999</v>
      </c>
      <c r="G92" s="40">
        <v>28372.042173693426</v>
      </c>
    </row>
    <row r="93" spans="1:7" ht="11.25" customHeight="1" x14ac:dyDescent="0.2">
      <c r="A93" s="47" t="s">
        <v>25</v>
      </c>
      <c r="B93" s="40">
        <v>0</v>
      </c>
      <c r="C93" s="40">
        <v>30497.017599999999</v>
      </c>
      <c r="D93" s="40">
        <v>0</v>
      </c>
      <c r="E93" s="40">
        <v>28372.042173693422</v>
      </c>
      <c r="F93" s="40">
        <v>30497.017599999999</v>
      </c>
      <c r="G93" s="40">
        <v>28372.042173693426</v>
      </c>
    </row>
    <row r="94" spans="1:7" ht="11.25" customHeight="1" x14ac:dyDescent="0.2">
      <c r="A94" s="48" t="s">
        <v>25</v>
      </c>
      <c r="B94" s="40">
        <v>0</v>
      </c>
      <c r="C94" s="40">
        <v>30497.017599999999</v>
      </c>
      <c r="D94" s="40">
        <v>0</v>
      </c>
      <c r="E94" s="40">
        <v>28372.042173693422</v>
      </c>
      <c r="F94" s="40">
        <v>30497.017599999999</v>
      </c>
      <c r="G94" s="40">
        <v>28372.042173693426</v>
      </c>
    </row>
    <row r="95" spans="1:7" ht="11.25" customHeight="1" x14ac:dyDescent="0.2">
      <c r="A95" s="49" t="s">
        <v>25</v>
      </c>
      <c r="B95" s="40">
        <v>0</v>
      </c>
      <c r="C95" s="40">
        <v>30497.017599999999</v>
      </c>
      <c r="D95" s="40">
        <v>0</v>
      </c>
      <c r="E95" s="40">
        <v>28372.042173693422</v>
      </c>
      <c r="F95" s="40">
        <v>30497.017599999999</v>
      </c>
      <c r="G95" s="40">
        <v>28372.042173693426</v>
      </c>
    </row>
    <row r="96" spans="1:7" ht="11.25" customHeight="1" x14ac:dyDescent="0.2">
      <c r="A96" s="50">
        <v>44440</v>
      </c>
      <c r="B96" s="40">
        <v>0</v>
      </c>
      <c r="C96" s="40">
        <v>1975.54441</v>
      </c>
      <c r="D96" s="40">
        <v>0</v>
      </c>
      <c r="E96" s="40">
        <v>1837.8921523304721</v>
      </c>
      <c r="F96" s="40">
        <v>1975.54441</v>
      </c>
      <c r="G96" s="40">
        <v>1837.8921523304721</v>
      </c>
    </row>
    <row r="97" spans="1:7" ht="11.25" customHeight="1" x14ac:dyDescent="0.2">
      <c r="A97" s="50">
        <v>44470</v>
      </c>
      <c r="B97" s="40">
        <v>0</v>
      </c>
      <c r="C97" s="40">
        <v>2131.8096799999994</v>
      </c>
      <c r="D97" s="40">
        <v>0</v>
      </c>
      <c r="E97" s="40">
        <v>1983.2691491527314</v>
      </c>
      <c r="F97" s="40">
        <v>2131.8096799999994</v>
      </c>
      <c r="G97" s="40">
        <v>1983.2691491527314</v>
      </c>
    </row>
    <row r="98" spans="1:7" ht="11.25" customHeight="1" x14ac:dyDescent="0.2">
      <c r="A98" s="50">
        <v>44501</v>
      </c>
      <c r="B98" s="40">
        <v>0</v>
      </c>
      <c r="C98" s="40">
        <v>2142.4580799999999</v>
      </c>
      <c r="D98" s="40">
        <v>0</v>
      </c>
      <c r="E98" s="40">
        <v>1993.1755884591887</v>
      </c>
      <c r="F98" s="40">
        <v>2142.4580799999999</v>
      </c>
      <c r="G98" s="40">
        <v>1993.1755884591887</v>
      </c>
    </row>
    <row r="99" spans="1:7" ht="11.25" customHeight="1" x14ac:dyDescent="0.2">
      <c r="A99" s="50">
        <v>44531</v>
      </c>
      <c r="B99" s="40">
        <v>0</v>
      </c>
      <c r="C99" s="40">
        <v>2256.6621700000001</v>
      </c>
      <c r="D99" s="40">
        <v>0</v>
      </c>
      <c r="E99" s="40">
        <v>2099.4221500209424</v>
      </c>
      <c r="F99" s="40">
        <v>2256.6621700000001</v>
      </c>
      <c r="G99" s="40">
        <v>2099.4221500209424</v>
      </c>
    </row>
    <row r="100" spans="1:7" ht="11.25" customHeight="1" x14ac:dyDescent="0.2">
      <c r="A100" s="50">
        <v>44562</v>
      </c>
      <c r="B100" s="40">
        <v>0</v>
      </c>
      <c r="C100" s="40">
        <v>2316.8256299999998</v>
      </c>
      <c r="D100" s="40">
        <v>0</v>
      </c>
      <c r="E100" s="40">
        <v>2155.3935321024251</v>
      </c>
      <c r="F100" s="40">
        <v>2316.8256299999998</v>
      </c>
      <c r="G100" s="40">
        <v>2155.3935321024251</v>
      </c>
    </row>
    <row r="101" spans="1:7" ht="11.25" customHeight="1" x14ac:dyDescent="0.2">
      <c r="A101" s="50">
        <v>44593</v>
      </c>
      <c r="B101" s="40">
        <v>0</v>
      </c>
      <c r="C101" s="40">
        <v>2497.5822199999998</v>
      </c>
      <c r="D101" s="40">
        <v>0</v>
      </c>
      <c r="E101" s="40">
        <v>2323.5553393295363</v>
      </c>
      <c r="F101" s="40">
        <v>2497.5822199999998</v>
      </c>
      <c r="G101" s="40">
        <v>2323.5553393295363</v>
      </c>
    </row>
    <row r="102" spans="1:7" ht="11.25" customHeight="1" x14ac:dyDescent="0.2">
      <c r="A102" s="50">
        <v>44621</v>
      </c>
      <c r="B102" s="40">
        <v>0</v>
      </c>
      <c r="C102" s="40">
        <v>2520.4762799999999</v>
      </c>
      <c r="D102" s="40">
        <v>0</v>
      </c>
      <c r="E102" s="40">
        <v>2344.854183838419</v>
      </c>
      <c r="F102" s="40">
        <v>2520.4762799999999</v>
      </c>
      <c r="G102" s="40">
        <v>2344.854183838419</v>
      </c>
    </row>
    <row r="103" spans="1:7" ht="11.25" customHeight="1" x14ac:dyDescent="0.2">
      <c r="A103" s="50">
        <v>44652</v>
      </c>
      <c r="B103" s="40">
        <v>0</v>
      </c>
      <c r="C103" s="40">
        <v>2717.4716799999997</v>
      </c>
      <c r="D103" s="40">
        <v>0</v>
      </c>
      <c r="E103" s="40">
        <v>2528.1233110078774</v>
      </c>
      <c r="F103" s="40">
        <v>2717.4716799999997</v>
      </c>
      <c r="G103" s="40">
        <v>2528.1233110078774</v>
      </c>
    </row>
    <row r="104" spans="1:7" ht="11.25" customHeight="1" x14ac:dyDescent="0.2">
      <c r="A104" s="50">
        <v>44682</v>
      </c>
      <c r="B104" s="40">
        <v>0</v>
      </c>
      <c r="C104" s="40">
        <v>2962.6510899999998</v>
      </c>
      <c r="D104" s="40">
        <v>0</v>
      </c>
      <c r="E104" s="40">
        <v>2756.2190760390545</v>
      </c>
      <c r="F104" s="40">
        <v>2962.6510899999998</v>
      </c>
      <c r="G104" s="40">
        <v>2756.2190760390545</v>
      </c>
    </row>
    <row r="105" spans="1:7" ht="11.25" customHeight="1" x14ac:dyDescent="0.2">
      <c r="A105" s="50">
        <v>44713</v>
      </c>
      <c r="B105" s="40">
        <v>0</v>
      </c>
      <c r="C105" s="40">
        <v>3028.9373799999998</v>
      </c>
      <c r="D105" s="40">
        <v>0</v>
      </c>
      <c r="E105" s="40">
        <v>2817.8866607217506</v>
      </c>
      <c r="F105" s="40">
        <v>3028.9373799999998</v>
      </c>
      <c r="G105" s="40">
        <v>2817.8866607217506</v>
      </c>
    </row>
    <row r="106" spans="1:7" ht="11.25" customHeight="1" x14ac:dyDescent="0.2">
      <c r="A106" s="50">
        <v>44743</v>
      </c>
      <c r="B106" s="40">
        <v>0</v>
      </c>
      <c r="C106" s="40">
        <v>2973.2994899999999</v>
      </c>
      <c r="D106" s="40">
        <v>0</v>
      </c>
      <c r="E106" s="40">
        <v>2766.1255153455118</v>
      </c>
      <c r="F106" s="40">
        <v>2973.2994899999999</v>
      </c>
      <c r="G106" s="40">
        <v>2766.1255153455118</v>
      </c>
    </row>
    <row r="107" spans="1:7" ht="11.25" customHeight="1" x14ac:dyDescent="0.2">
      <c r="A107" s="50">
        <v>44774</v>
      </c>
      <c r="B107" s="40">
        <v>0</v>
      </c>
      <c r="C107" s="40">
        <v>2973.2994899999999</v>
      </c>
      <c r="D107" s="40">
        <v>0</v>
      </c>
      <c r="E107" s="40">
        <v>2766.1255153455118</v>
      </c>
      <c r="F107" s="40">
        <v>2973.2994899999999</v>
      </c>
      <c r="G107" s="40">
        <v>2766.1255153455118</v>
      </c>
    </row>
    <row r="108" spans="1:7" ht="11.25" customHeight="1" x14ac:dyDescent="0.2">
      <c r="A108" s="46" t="s">
        <v>31</v>
      </c>
      <c r="B108" s="40">
        <v>0</v>
      </c>
      <c r="C108" s="40">
        <v>7733.8111199999967</v>
      </c>
      <c r="D108" s="40">
        <v>0</v>
      </c>
      <c r="E108" s="40">
        <v>7196.2851731931714</v>
      </c>
      <c r="F108" s="40">
        <v>7733.8111199999967</v>
      </c>
      <c r="G108" s="40">
        <v>7196.2851731931714</v>
      </c>
    </row>
    <row r="109" spans="1:7" ht="11.25" customHeight="1" x14ac:dyDescent="0.2">
      <c r="A109" s="47" t="s">
        <v>25</v>
      </c>
      <c r="B109" s="40">
        <v>0</v>
      </c>
      <c r="C109" s="40">
        <v>7733.8111199999967</v>
      </c>
      <c r="D109" s="40">
        <v>0</v>
      </c>
      <c r="E109" s="40">
        <v>7196.2851731931714</v>
      </c>
      <c r="F109" s="40">
        <v>7733.8111199999967</v>
      </c>
      <c r="G109" s="40">
        <v>7196.2851731931714</v>
      </c>
    </row>
    <row r="110" spans="1:7" ht="11.25" customHeight="1" x14ac:dyDescent="0.2">
      <c r="A110" s="48" t="s">
        <v>25</v>
      </c>
      <c r="B110" s="40">
        <v>0</v>
      </c>
      <c r="C110" s="40">
        <v>7733.8111199999967</v>
      </c>
      <c r="D110" s="40">
        <v>0</v>
      </c>
      <c r="E110" s="40">
        <v>7196.2851731931714</v>
      </c>
      <c r="F110" s="40">
        <v>7733.8111199999967</v>
      </c>
      <c r="G110" s="40">
        <v>7196.2851731931714</v>
      </c>
    </row>
    <row r="111" spans="1:7" ht="11.25" customHeight="1" x14ac:dyDescent="0.2">
      <c r="A111" s="49" t="s">
        <v>25</v>
      </c>
      <c r="B111" s="40">
        <v>0</v>
      </c>
      <c r="C111" s="40">
        <v>7733.8111199999967</v>
      </c>
      <c r="D111" s="40">
        <v>0</v>
      </c>
      <c r="E111" s="40">
        <v>7196.2851731931714</v>
      </c>
      <c r="F111" s="40">
        <v>7733.8111199999967</v>
      </c>
      <c r="G111" s="40">
        <v>7196.2851731931714</v>
      </c>
    </row>
    <row r="112" spans="1:7" ht="11.25" customHeight="1" x14ac:dyDescent="0.2">
      <c r="A112" s="50">
        <v>44440</v>
      </c>
      <c r="B112" s="40">
        <v>0</v>
      </c>
      <c r="C112" s="40">
        <v>437.16779999999989</v>
      </c>
      <c r="D112" s="40">
        <v>0</v>
      </c>
      <c r="E112" s="40">
        <v>406.78316402139882</v>
      </c>
      <c r="F112" s="40">
        <v>437.16779999999989</v>
      </c>
      <c r="G112" s="40">
        <v>406.78316402139882</v>
      </c>
    </row>
    <row r="113" spans="1:7" ht="11.25" customHeight="1" x14ac:dyDescent="0.2">
      <c r="A113" s="50">
        <v>44470</v>
      </c>
      <c r="B113" s="40">
        <v>0</v>
      </c>
      <c r="C113" s="40">
        <v>547.4911199999998</v>
      </c>
      <c r="D113" s="40">
        <v>0</v>
      </c>
      <c r="E113" s="40">
        <v>509.43864133456151</v>
      </c>
      <c r="F113" s="40">
        <v>547.4911199999998</v>
      </c>
      <c r="G113" s="40">
        <v>509.43864133456151</v>
      </c>
    </row>
    <row r="114" spans="1:7" ht="11.25" customHeight="1" x14ac:dyDescent="0.2">
      <c r="A114" s="50">
        <v>44501</v>
      </c>
      <c r="B114" s="40">
        <v>0</v>
      </c>
      <c r="C114" s="40">
        <v>514.08803999999986</v>
      </c>
      <c r="D114" s="40">
        <v>0</v>
      </c>
      <c r="E114" s="40">
        <v>478.35718801055208</v>
      </c>
      <c r="F114" s="40">
        <v>514.08803999999986</v>
      </c>
      <c r="G114" s="40">
        <v>478.35718801055208</v>
      </c>
    </row>
    <row r="115" spans="1:7" ht="11.25" customHeight="1" x14ac:dyDescent="0.2">
      <c r="A115" s="50">
        <v>44531</v>
      </c>
      <c r="B115" s="40">
        <v>0</v>
      </c>
      <c r="C115" s="40">
        <v>530.52341999999976</v>
      </c>
      <c r="D115" s="40">
        <v>0</v>
      </c>
      <c r="E115" s="40">
        <v>493.65025368989535</v>
      </c>
      <c r="F115" s="40">
        <v>530.52341999999976</v>
      </c>
      <c r="G115" s="40">
        <v>493.65025368989535</v>
      </c>
    </row>
    <row r="116" spans="1:7" ht="11.25" customHeight="1" x14ac:dyDescent="0.2">
      <c r="A116" s="50">
        <v>44562</v>
      </c>
      <c r="B116" s="40">
        <v>0</v>
      </c>
      <c r="C116" s="40">
        <v>621.61667999999986</v>
      </c>
      <c r="D116" s="40">
        <v>0</v>
      </c>
      <c r="E116" s="40">
        <v>578.41222500576987</v>
      </c>
      <c r="F116" s="40">
        <v>621.61667999999986</v>
      </c>
      <c r="G116" s="40">
        <v>578.41222500576987</v>
      </c>
    </row>
    <row r="117" spans="1:7" ht="11.25" customHeight="1" x14ac:dyDescent="0.2">
      <c r="A117" s="50">
        <v>44593</v>
      </c>
      <c r="B117" s="40">
        <v>0</v>
      </c>
      <c r="C117" s="40">
        <v>737.06357999999977</v>
      </c>
      <c r="D117" s="40">
        <v>0</v>
      </c>
      <c r="E117" s="40">
        <v>685.83517623516502</v>
      </c>
      <c r="F117" s="40">
        <v>737.06357999999977</v>
      </c>
      <c r="G117" s="40">
        <v>685.83517623516502</v>
      </c>
    </row>
    <row r="118" spans="1:7" ht="11.25" customHeight="1" x14ac:dyDescent="0.2">
      <c r="A118" s="50">
        <v>44621</v>
      </c>
      <c r="B118" s="40">
        <v>0</v>
      </c>
      <c r="C118" s="40">
        <v>656.08439999999973</v>
      </c>
      <c r="D118" s="40">
        <v>0</v>
      </c>
      <c r="E118" s="40">
        <v>610.48432226042496</v>
      </c>
      <c r="F118" s="40">
        <v>656.08439999999973</v>
      </c>
      <c r="G118" s="40">
        <v>610.48432226042496</v>
      </c>
    </row>
    <row r="119" spans="1:7" ht="11.25" customHeight="1" x14ac:dyDescent="0.2">
      <c r="A119" s="50">
        <v>44652</v>
      </c>
      <c r="B119" s="40">
        <v>0</v>
      </c>
      <c r="C119" s="40">
        <v>689.15477999999973</v>
      </c>
      <c r="D119" s="40">
        <v>0</v>
      </c>
      <c r="E119" s="40">
        <v>641.25619935610757</v>
      </c>
      <c r="F119" s="40">
        <v>689.15477999999973</v>
      </c>
      <c r="G119" s="40">
        <v>641.25619935610757</v>
      </c>
    </row>
    <row r="120" spans="1:7" ht="11.25" customHeight="1" x14ac:dyDescent="0.2">
      <c r="A120" s="50">
        <v>44682</v>
      </c>
      <c r="B120" s="40">
        <v>0</v>
      </c>
      <c r="C120" s="40">
        <v>728.61299999999972</v>
      </c>
      <c r="D120" s="40">
        <v>0</v>
      </c>
      <c r="E120" s="40">
        <v>677.9719400356646</v>
      </c>
      <c r="F120" s="40">
        <v>728.61299999999972</v>
      </c>
      <c r="G120" s="40">
        <v>677.9719400356646</v>
      </c>
    </row>
    <row r="121" spans="1:7" ht="11.25" customHeight="1" x14ac:dyDescent="0.2">
      <c r="A121" s="50">
        <v>44713</v>
      </c>
      <c r="B121" s="40">
        <v>0</v>
      </c>
      <c r="C121" s="40">
        <v>830.8849799999997</v>
      </c>
      <c r="D121" s="40">
        <v>0</v>
      </c>
      <c r="E121" s="40">
        <v>773.13567262331912</v>
      </c>
      <c r="F121" s="40">
        <v>830.8849799999997</v>
      </c>
      <c r="G121" s="40">
        <v>773.13567262331912</v>
      </c>
    </row>
    <row r="122" spans="1:7" ht="11.25" customHeight="1" x14ac:dyDescent="0.2">
      <c r="A122" s="50">
        <v>44743</v>
      </c>
      <c r="B122" s="40">
        <v>0</v>
      </c>
      <c r="C122" s="40">
        <v>720.56165999999985</v>
      </c>
      <c r="D122" s="40">
        <v>0</v>
      </c>
      <c r="E122" s="40">
        <v>670.48019531015643</v>
      </c>
      <c r="F122" s="40">
        <v>720.56165999999985</v>
      </c>
      <c r="G122" s="40">
        <v>670.48019531015643</v>
      </c>
    </row>
    <row r="123" spans="1:7" ht="11.25" customHeight="1" x14ac:dyDescent="0.2">
      <c r="A123" s="50">
        <v>44774</v>
      </c>
      <c r="B123" s="40">
        <v>0</v>
      </c>
      <c r="C123" s="40">
        <v>720.56165999999985</v>
      </c>
      <c r="D123" s="40">
        <v>0</v>
      </c>
      <c r="E123" s="40">
        <v>670.48019531015643</v>
      </c>
      <c r="F123" s="40">
        <v>720.56165999999985</v>
      </c>
      <c r="G123" s="40">
        <v>670.48019531015643</v>
      </c>
    </row>
    <row r="124" spans="1:7" ht="11.25" customHeight="1" x14ac:dyDescent="0.2">
      <c r="A124" s="46" t="s">
        <v>32</v>
      </c>
      <c r="B124" s="40">
        <v>0</v>
      </c>
      <c r="C124" s="40">
        <v>1.2878444977104663E-12</v>
      </c>
      <c r="D124" s="40">
        <v>0</v>
      </c>
      <c r="E124" s="40">
        <v>0</v>
      </c>
      <c r="F124" s="40">
        <v>1.2878444977104663E-12</v>
      </c>
      <c r="G124" s="40">
        <v>0</v>
      </c>
    </row>
    <row r="125" spans="1:7" ht="11.25" customHeight="1" x14ac:dyDescent="0.2">
      <c r="A125" s="47" t="s">
        <v>25</v>
      </c>
      <c r="B125" s="40">
        <v>0</v>
      </c>
      <c r="C125" s="40">
        <v>1.2878444977104663E-12</v>
      </c>
      <c r="D125" s="40">
        <v>0</v>
      </c>
      <c r="E125" s="40">
        <v>0</v>
      </c>
      <c r="F125" s="40">
        <v>1.2878444977104663E-12</v>
      </c>
      <c r="G125" s="40">
        <v>0</v>
      </c>
    </row>
    <row r="126" spans="1:7" ht="11.25" customHeight="1" x14ac:dyDescent="0.2">
      <c r="A126" s="48" t="s">
        <v>25</v>
      </c>
      <c r="B126" s="40">
        <v>0</v>
      </c>
      <c r="C126" s="40">
        <v>1.2878444977104663E-12</v>
      </c>
      <c r="D126" s="40">
        <v>0</v>
      </c>
      <c r="E126" s="40">
        <v>0</v>
      </c>
      <c r="F126" s="40">
        <v>1.2878444977104663E-12</v>
      </c>
      <c r="G126" s="40">
        <v>0</v>
      </c>
    </row>
    <row r="127" spans="1:7" ht="11.25" customHeight="1" x14ac:dyDescent="0.2">
      <c r="A127" s="49" t="s">
        <v>25</v>
      </c>
      <c r="B127" s="40">
        <v>0</v>
      </c>
      <c r="C127" s="40">
        <v>1.2878444977104663E-12</v>
      </c>
      <c r="D127" s="40">
        <v>0</v>
      </c>
      <c r="E127" s="40">
        <v>0</v>
      </c>
      <c r="F127" s="40">
        <v>1.2878444977104663E-12</v>
      </c>
      <c r="G127" s="40">
        <v>0</v>
      </c>
    </row>
    <row r="128" spans="1:7" ht="11.25" customHeight="1" x14ac:dyDescent="0.2">
      <c r="A128" s="50">
        <v>44440</v>
      </c>
      <c r="B128" s="40">
        <v>0</v>
      </c>
      <c r="C128" s="40">
        <v>4.6043169277254495E-14</v>
      </c>
      <c r="D128" s="40">
        <v>0</v>
      </c>
      <c r="E128" s="40">
        <v>0</v>
      </c>
      <c r="F128" s="40">
        <v>4.6043169277254495E-14</v>
      </c>
      <c r="G128" s="40">
        <v>0</v>
      </c>
    </row>
    <row r="129" spans="1:7" ht="11.25" customHeight="1" x14ac:dyDescent="0.2">
      <c r="A129" s="50">
        <v>44470</v>
      </c>
      <c r="B129" s="40">
        <v>0</v>
      </c>
      <c r="C129" s="40">
        <v>8.3304030340514147E-14</v>
      </c>
      <c r="D129" s="40">
        <v>0</v>
      </c>
      <c r="E129" s="40">
        <v>0</v>
      </c>
      <c r="F129" s="40">
        <v>8.3304030340514147E-14</v>
      </c>
      <c r="G129" s="40">
        <v>0</v>
      </c>
    </row>
    <row r="130" spans="1:7" ht="11.25" customHeight="1" x14ac:dyDescent="0.2">
      <c r="A130" s="50">
        <v>44501</v>
      </c>
      <c r="B130" s="40">
        <v>0</v>
      </c>
      <c r="C130" s="40">
        <v>6.2840399550623256E-14</v>
      </c>
      <c r="D130" s="40">
        <v>0</v>
      </c>
      <c r="E130" s="40">
        <v>0</v>
      </c>
      <c r="F130" s="40">
        <v>6.2840399550623256E-14</v>
      </c>
      <c r="G130" s="40">
        <v>0</v>
      </c>
    </row>
    <row r="131" spans="1:7" ht="11.25" customHeight="1" x14ac:dyDescent="0.2">
      <c r="A131" s="50">
        <v>44531</v>
      </c>
      <c r="B131" s="40">
        <v>0</v>
      </c>
      <c r="C131" s="40">
        <v>6.5284666561638009E-14</v>
      </c>
      <c r="D131" s="40">
        <v>0</v>
      </c>
      <c r="E131" s="40">
        <v>0</v>
      </c>
      <c r="F131" s="40">
        <v>6.5284666561638009E-14</v>
      </c>
      <c r="G131" s="40">
        <v>0</v>
      </c>
    </row>
    <row r="132" spans="1:7" ht="11.25" customHeight="1" x14ac:dyDescent="0.2">
      <c r="A132" s="50">
        <v>44562</v>
      </c>
      <c r="B132" s="40">
        <v>0</v>
      </c>
      <c r="C132" s="40">
        <v>1.2227019396959803E-13</v>
      </c>
      <c r="D132" s="40">
        <v>0</v>
      </c>
      <c r="E132" s="40">
        <v>0</v>
      </c>
      <c r="F132" s="40">
        <v>1.2227019396959803E-13</v>
      </c>
      <c r="G132" s="40">
        <v>0</v>
      </c>
    </row>
    <row r="133" spans="1:7" ht="11.25" customHeight="1" x14ac:dyDescent="0.2">
      <c r="A133" s="50">
        <v>44593</v>
      </c>
      <c r="B133" s="40">
        <v>0</v>
      </c>
      <c r="C133" s="40">
        <v>2.11400674743345E-13</v>
      </c>
      <c r="D133" s="40">
        <v>0</v>
      </c>
      <c r="E133" s="40">
        <v>0</v>
      </c>
      <c r="F133" s="40">
        <v>2.11400674743345E-13</v>
      </c>
      <c r="G133" s="40">
        <v>0</v>
      </c>
    </row>
    <row r="134" spans="1:7" ht="11.25" customHeight="1" x14ac:dyDescent="0.2">
      <c r="A134" s="50">
        <v>44621</v>
      </c>
      <c r="B134" s="40">
        <v>0</v>
      </c>
      <c r="C134" s="40">
        <v>1.5666046238038688E-13</v>
      </c>
      <c r="D134" s="40">
        <v>0</v>
      </c>
      <c r="E134" s="40">
        <v>0</v>
      </c>
      <c r="F134" s="40">
        <v>1.5666046238038688E-13</v>
      </c>
      <c r="G134" s="40">
        <v>0</v>
      </c>
    </row>
    <row r="135" spans="1:7" ht="11.25" customHeight="1" x14ac:dyDescent="0.2">
      <c r="A135" s="50">
        <v>44652</v>
      </c>
      <c r="B135" s="40">
        <v>0</v>
      </c>
      <c r="C135" s="40">
        <v>1.0118128557223827E-13</v>
      </c>
      <c r="D135" s="40">
        <v>0</v>
      </c>
      <c r="E135" s="40">
        <v>0</v>
      </c>
      <c r="F135" s="40">
        <v>1.0118128557223827E-13</v>
      </c>
      <c r="G135" s="40">
        <v>0</v>
      </c>
    </row>
    <row r="136" spans="1:7" ht="11.25" customHeight="1" x14ac:dyDescent="0.2">
      <c r="A136" s="50">
        <v>44682</v>
      </c>
      <c r="B136" s="40">
        <v>0</v>
      </c>
      <c r="C136" s="40">
        <v>8.4185103332856675E-14</v>
      </c>
      <c r="D136" s="40">
        <v>0</v>
      </c>
      <c r="E136" s="40">
        <v>0</v>
      </c>
      <c r="F136" s="40">
        <v>8.4185103332856675E-14</v>
      </c>
      <c r="G136" s="40">
        <v>0</v>
      </c>
    </row>
    <row r="137" spans="1:7" ht="11.25" customHeight="1" x14ac:dyDescent="0.2">
      <c r="A137" s="50">
        <v>44713</v>
      </c>
      <c r="B137" s="40">
        <v>0</v>
      </c>
      <c r="C137" s="40">
        <v>1.7891466086439322E-13</v>
      </c>
      <c r="D137" s="40">
        <v>0</v>
      </c>
      <c r="E137" s="40">
        <v>0</v>
      </c>
      <c r="F137" s="40">
        <v>1.7891466086439322E-13</v>
      </c>
      <c r="G137" s="40">
        <v>0</v>
      </c>
    </row>
    <row r="138" spans="1:7" ht="11.25" customHeight="1" x14ac:dyDescent="0.2">
      <c r="A138" s="50">
        <v>44743</v>
      </c>
      <c r="B138" s="40">
        <v>0</v>
      </c>
      <c r="C138" s="40">
        <v>8.7879925558809193E-14</v>
      </c>
      <c r="D138" s="40">
        <v>0</v>
      </c>
      <c r="E138" s="40">
        <v>0</v>
      </c>
      <c r="F138" s="40">
        <v>8.7879925558809193E-14</v>
      </c>
      <c r="G138" s="40">
        <v>0</v>
      </c>
    </row>
    <row r="139" spans="1:7" ht="11.25" customHeight="1" x14ac:dyDescent="0.2">
      <c r="A139" s="50">
        <v>44774</v>
      </c>
      <c r="B139" s="40">
        <v>0</v>
      </c>
      <c r="C139" s="40">
        <v>8.7879925558809193E-14</v>
      </c>
      <c r="D139" s="40">
        <v>0</v>
      </c>
      <c r="E139" s="40">
        <v>0</v>
      </c>
      <c r="F139" s="40">
        <v>8.7879925558809193E-14</v>
      </c>
      <c r="G139" s="40">
        <v>0</v>
      </c>
    </row>
    <row r="140" spans="1:7" ht="11.25" customHeight="1" x14ac:dyDescent="0.2">
      <c r="A140" s="42" t="s">
        <v>625</v>
      </c>
      <c r="B140" s="40">
        <v>120.15800000000007</v>
      </c>
      <c r="C140" s="40">
        <v>294994.29810319975</v>
      </c>
      <c r="D140" s="40">
        <v>116.84637064016897</v>
      </c>
      <c r="E140" s="40">
        <v>146322.99693746041</v>
      </c>
      <c r="F140" s="40">
        <v>295114.45610319974</v>
      </c>
      <c r="G140" s="40">
        <v>146439.84330810059</v>
      </c>
    </row>
    <row r="141" spans="1:7" ht="11.25" customHeight="1" x14ac:dyDescent="0.2">
      <c r="A141" s="43" t="s">
        <v>35</v>
      </c>
      <c r="B141" s="40">
        <v>120.15800000000007</v>
      </c>
      <c r="C141" s="40">
        <v>98.080863200000067</v>
      </c>
      <c r="D141" s="40">
        <v>116.84637064016897</v>
      </c>
      <c r="E141" s="40">
        <v>100.43846445497084</v>
      </c>
      <c r="F141" s="40">
        <v>218.23886320000014</v>
      </c>
      <c r="G141" s="40">
        <v>217.28483509513981</v>
      </c>
    </row>
    <row r="142" spans="1:7" ht="11.25" customHeight="1" x14ac:dyDescent="0.2">
      <c r="A142" s="44" t="s">
        <v>36</v>
      </c>
      <c r="B142" s="40">
        <v>120.15800000000007</v>
      </c>
      <c r="C142" s="40">
        <v>98.080863200000067</v>
      </c>
      <c r="D142" s="40">
        <v>116.84637064016897</v>
      </c>
      <c r="E142" s="40">
        <v>100.43846445497084</v>
      </c>
      <c r="F142" s="40">
        <v>218.23886320000014</v>
      </c>
      <c r="G142" s="40">
        <v>217.28483509513981</v>
      </c>
    </row>
    <row r="143" spans="1:7" ht="11.25" customHeight="1" x14ac:dyDescent="0.2">
      <c r="A143" s="45" t="s">
        <v>43</v>
      </c>
      <c r="B143" s="40">
        <v>120.15800000000007</v>
      </c>
      <c r="C143" s="40">
        <v>98.080863200000067</v>
      </c>
      <c r="D143" s="40">
        <v>116.84637064016897</v>
      </c>
      <c r="E143" s="40">
        <v>100.43846445497084</v>
      </c>
      <c r="F143" s="40">
        <v>218.23886320000014</v>
      </c>
      <c r="G143" s="40">
        <v>217.28483509513981</v>
      </c>
    </row>
    <row r="144" spans="1:7" ht="11.25" customHeight="1" x14ac:dyDescent="0.2">
      <c r="A144" s="46" t="s">
        <v>25</v>
      </c>
      <c r="B144" s="40">
        <v>120.15800000000007</v>
      </c>
      <c r="C144" s="40">
        <v>98.080863200000067</v>
      </c>
      <c r="D144" s="40">
        <v>116.84637064016897</v>
      </c>
      <c r="E144" s="40">
        <v>100.43846445497084</v>
      </c>
      <c r="F144" s="40">
        <v>218.23886320000014</v>
      </c>
      <c r="G144" s="40">
        <v>217.28483509513981</v>
      </c>
    </row>
    <row r="145" spans="1:7" ht="11.25" customHeight="1" x14ac:dyDescent="0.2">
      <c r="A145" s="47" t="s">
        <v>25</v>
      </c>
      <c r="B145" s="40">
        <v>120.15800000000007</v>
      </c>
      <c r="C145" s="40">
        <v>98.080863200000067</v>
      </c>
      <c r="D145" s="40">
        <v>116.84637064016897</v>
      </c>
      <c r="E145" s="40">
        <v>100.43846445497084</v>
      </c>
      <c r="F145" s="40">
        <v>218.23886320000014</v>
      </c>
      <c r="G145" s="40">
        <v>217.28483509513981</v>
      </c>
    </row>
    <row r="146" spans="1:7" ht="11.25" customHeight="1" x14ac:dyDescent="0.2">
      <c r="A146" s="48" t="s">
        <v>25</v>
      </c>
      <c r="B146" s="40">
        <v>120.15800000000007</v>
      </c>
      <c r="C146" s="40">
        <v>98.080863200000067</v>
      </c>
      <c r="D146" s="40">
        <v>116.84637064016897</v>
      </c>
      <c r="E146" s="40">
        <v>100.43846445497084</v>
      </c>
      <c r="F146" s="40">
        <v>218.23886320000014</v>
      </c>
      <c r="G146" s="40">
        <v>217.28483509513981</v>
      </c>
    </row>
    <row r="147" spans="1:7" ht="11.25" customHeight="1" x14ac:dyDescent="0.2">
      <c r="A147" s="49" t="s">
        <v>38</v>
      </c>
      <c r="B147" s="40">
        <v>0</v>
      </c>
      <c r="C147" s="40">
        <v>42.179627599999975</v>
      </c>
      <c r="D147" s="40">
        <v>0</v>
      </c>
      <c r="E147" s="40">
        <v>46.958173383424771</v>
      </c>
      <c r="F147" s="40">
        <v>42.179627599999975</v>
      </c>
      <c r="G147" s="40">
        <v>46.958173383424771</v>
      </c>
    </row>
    <row r="148" spans="1:7" ht="11.25" customHeight="1" x14ac:dyDescent="0.2">
      <c r="A148" s="50">
        <v>44593</v>
      </c>
      <c r="B148" s="40">
        <v>0</v>
      </c>
      <c r="C148" s="40">
        <v>32.27645519999998</v>
      </c>
      <c r="D148" s="40">
        <v>0</v>
      </c>
      <c r="E148" s="40">
        <v>35.933066879043338</v>
      </c>
      <c r="F148" s="40">
        <v>32.27645519999998</v>
      </c>
      <c r="G148" s="40">
        <v>35.933066879043338</v>
      </c>
    </row>
    <row r="149" spans="1:7" ht="11.25" customHeight="1" x14ac:dyDescent="0.2">
      <c r="A149" s="50">
        <v>44621</v>
      </c>
      <c r="B149" s="40">
        <v>0</v>
      </c>
      <c r="C149" s="40">
        <v>9.9031723999999919</v>
      </c>
      <c r="D149" s="40">
        <v>0</v>
      </c>
      <c r="E149" s="40">
        <v>11.025106504381435</v>
      </c>
      <c r="F149" s="40">
        <v>9.9031723999999919</v>
      </c>
      <c r="G149" s="40">
        <v>11.025106504381435</v>
      </c>
    </row>
    <row r="150" spans="1:7" ht="11.25" customHeight="1" x14ac:dyDescent="0.2">
      <c r="A150" s="49" t="s">
        <v>25</v>
      </c>
      <c r="B150" s="40">
        <v>120.15800000000007</v>
      </c>
      <c r="C150" s="40">
        <v>0</v>
      </c>
      <c r="D150" s="40">
        <v>116.84637064016897</v>
      </c>
      <c r="E150" s="40">
        <v>0</v>
      </c>
      <c r="F150" s="40">
        <v>120.15800000000007</v>
      </c>
      <c r="G150" s="40">
        <v>116.84637064016897</v>
      </c>
    </row>
    <row r="151" spans="1:7" ht="11.25" customHeight="1" x14ac:dyDescent="0.2">
      <c r="A151" s="50">
        <v>44593</v>
      </c>
      <c r="B151" s="40">
        <v>67.486000000000018</v>
      </c>
      <c r="C151" s="40">
        <v>0</v>
      </c>
      <c r="D151" s="40">
        <v>65.626043784204469</v>
      </c>
      <c r="E151" s="40">
        <v>0</v>
      </c>
      <c r="F151" s="40">
        <v>67.486000000000018</v>
      </c>
      <c r="G151" s="40">
        <v>65.626043784204469</v>
      </c>
    </row>
    <row r="152" spans="1:7" ht="11.25" customHeight="1" x14ac:dyDescent="0.2">
      <c r="A152" s="50">
        <v>44621</v>
      </c>
      <c r="B152" s="40">
        <v>52.672000000000047</v>
      </c>
      <c r="C152" s="40">
        <v>0</v>
      </c>
      <c r="D152" s="40">
        <v>51.220326855964494</v>
      </c>
      <c r="E152" s="40">
        <v>0</v>
      </c>
      <c r="F152" s="40">
        <v>52.672000000000047</v>
      </c>
      <c r="G152" s="40">
        <v>51.220326855964494</v>
      </c>
    </row>
    <row r="153" spans="1:7" ht="11.25" customHeight="1" x14ac:dyDescent="0.2">
      <c r="A153" s="49" t="s">
        <v>37</v>
      </c>
      <c r="B153" s="40">
        <v>0</v>
      </c>
      <c r="C153" s="40">
        <v>55.901235600000078</v>
      </c>
      <c r="D153" s="40">
        <v>0</v>
      </c>
      <c r="E153" s="40">
        <v>53.480291071546056</v>
      </c>
      <c r="F153" s="40">
        <v>55.901235600000078</v>
      </c>
      <c r="G153" s="40">
        <v>53.480291071546056</v>
      </c>
    </row>
    <row r="154" spans="1:7" ht="11.25" customHeight="1" x14ac:dyDescent="0.2">
      <c r="A154" s="50">
        <v>44593</v>
      </c>
      <c r="B154" s="40">
        <v>0</v>
      </c>
      <c r="C154" s="40">
        <v>26.579905200000034</v>
      </c>
      <c r="D154" s="40">
        <v>0</v>
      </c>
      <c r="E154" s="40">
        <v>25.428795115042149</v>
      </c>
      <c r="F154" s="40">
        <v>26.579905200000034</v>
      </c>
      <c r="G154" s="40">
        <v>25.428795115042149</v>
      </c>
    </row>
    <row r="155" spans="1:7" ht="11.25" customHeight="1" x14ac:dyDescent="0.2">
      <c r="A155" s="50">
        <v>44621</v>
      </c>
      <c r="B155" s="40">
        <v>0</v>
      </c>
      <c r="C155" s="40">
        <v>29.321330400000047</v>
      </c>
      <c r="D155" s="40">
        <v>0</v>
      </c>
      <c r="E155" s="40">
        <v>28.051495956503906</v>
      </c>
      <c r="F155" s="40">
        <v>29.321330400000047</v>
      </c>
      <c r="G155" s="40">
        <v>28.051495956503906</v>
      </c>
    </row>
    <row r="156" spans="1:7" ht="11.25" customHeight="1" x14ac:dyDescent="0.2">
      <c r="A156" s="43" t="s">
        <v>42</v>
      </c>
      <c r="B156" s="40">
        <v>0</v>
      </c>
      <c r="C156" s="40">
        <v>294896.21723999974</v>
      </c>
      <c r="D156" s="40">
        <v>0</v>
      </c>
      <c r="E156" s="40">
        <v>146222.55847300545</v>
      </c>
      <c r="F156" s="40">
        <v>294896.21723999979</v>
      </c>
      <c r="G156" s="40">
        <v>146222.55847300545</v>
      </c>
    </row>
    <row r="157" spans="1:7" ht="11.25" customHeight="1" x14ac:dyDescent="0.2">
      <c r="A157" s="44" t="s">
        <v>23</v>
      </c>
      <c r="B157" s="40">
        <v>0</v>
      </c>
      <c r="C157" s="40">
        <v>294896.21723999974</v>
      </c>
      <c r="D157" s="40">
        <v>0</v>
      </c>
      <c r="E157" s="40">
        <v>146222.55847300545</v>
      </c>
      <c r="F157" s="40">
        <v>294896.21723999979</v>
      </c>
      <c r="G157" s="40">
        <v>146222.55847300545</v>
      </c>
    </row>
    <row r="158" spans="1:7" ht="11.25" customHeight="1" x14ac:dyDescent="0.2">
      <c r="A158" s="45" t="s">
        <v>43</v>
      </c>
      <c r="B158" s="40">
        <v>0</v>
      </c>
      <c r="C158" s="40">
        <v>294896.21723999974</v>
      </c>
      <c r="D158" s="40">
        <v>0</v>
      </c>
      <c r="E158" s="40">
        <v>146222.55847300545</v>
      </c>
      <c r="F158" s="40">
        <v>294896.21723999979</v>
      </c>
      <c r="G158" s="40">
        <v>146222.55847300545</v>
      </c>
    </row>
    <row r="159" spans="1:7" ht="11.25" customHeight="1" x14ac:dyDescent="0.2">
      <c r="A159" s="46" t="s">
        <v>25</v>
      </c>
      <c r="B159" s="40">
        <v>0</v>
      </c>
      <c r="C159" s="40">
        <v>294896.21723999974</v>
      </c>
      <c r="D159" s="40">
        <v>0</v>
      </c>
      <c r="E159" s="40">
        <v>146222.55847300545</v>
      </c>
      <c r="F159" s="40">
        <v>294896.21723999979</v>
      </c>
      <c r="G159" s="40">
        <v>146222.55847300545</v>
      </c>
    </row>
    <row r="160" spans="1:7" ht="11.25" customHeight="1" x14ac:dyDescent="0.2">
      <c r="A160" s="47" t="s">
        <v>25</v>
      </c>
      <c r="B160" s="40">
        <v>0</v>
      </c>
      <c r="C160" s="40">
        <v>294896.21723999974</v>
      </c>
      <c r="D160" s="40">
        <v>0</v>
      </c>
      <c r="E160" s="40">
        <v>146222.55847300545</v>
      </c>
      <c r="F160" s="40">
        <v>294896.21723999979</v>
      </c>
      <c r="G160" s="40">
        <v>146222.55847300545</v>
      </c>
    </row>
    <row r="161" spans="1:7" ht="11.25" customHeight="1" x14ac:dyDescent="0.2">
      <c r="A161" s="48" t="s">
        <v>25</v>
      </c>
      <c r="B161" s="40">
        <v>0</v>
      </c>
      <c r="C161" s="40">
        <v>294896.21723999974</v>
      </c>
      <c r="D161" s="40">
        <v>0</v>
      </c>
      <c r="E161" s="40">
        <v>146222.55847300545</v>
      </c>
      <c r="F161" s="40">
        <v>294896.21723999979</v>
      </c>
      <c r="G161" s="40">
        <v>146222.55847300545</v>
      </c>
    </row>
    <row r="162" spans="1:7" ht="11.25" customHeight="1" x14ac:dyDescent="0.2">
      <c r="A162" s="49" t="s">
        <v>25</v>
      </c>
      <c r="B162" s="40">
        <v>0</v>
      </c>
      <c r="C162" s="40">
        <v>294896.21723999974</v>
      </c>
      <c r="D162" s="40">
        <v>0</v>
      </c>
      <c r="E162" s="40">
        <v>146222.55847300545</v>
      </c>
      <c r="F162" s="40">
        <v>294896.21723999979</v>
      </c>
      <c r="G162" s="40">
        <v>146222.55847300545</v>
      </c>
    </row>
    <row r="163" spans="1:7" ht="11.25" customHeight="1" x14ac:dyDescent="0.2">
      <c r="A163" s="50">
        <v>44440</v>
      </c>
      <c r="B163" s="40">
        <v>0</v>
      </c>
      <c r="C163" s="40">
        <v>22418.587079999983</v>
      </c>
      <c r="D163" s="40">
        <v>0</v>
      </c>
      <c r="E163" s="40">
        <v>11116.124821362475</v>
      </c>
      <c r="F163" s="40">
        <v>22418.587079999983</v>
      </c>
      <c r="G163" s="40">
        <v>11116.124821362475</v>
      </c>
    </row>
    <row r="164" spans="1:7" ht="11.25" customHeight="1" x14ac:dyDescent="0.2">
      <c r="A164" s="50">
        <v>44470</v>
      </c>
      <c r="B164" s="40">
        <v>0</v>
      </c>
      <c r="C164" s="40">
        <v>25404.366959999985</v>
      </c>
      <c r="D164" s="40">
        <v>0</v>
      </c>
      <c r="E164" s="40">
        <v>12596.606250310435</v>
      </c>
      <c r="F164" s="40">
        <v>25404.366959999985</v>
      </c>
      <c r="G164" s="40">
        <v>12596.606250310435</v>
      </c>
    </row>
    <row r="165" spans="1:7" ht="11.25" customHeight="1" x14ac:dyDescent="0.2">
      <c r="A165" s="50">
        <v>44501</v>
      </c>
      <c r="B165" s="40">
        <v>0</v>
      </c>
      <c r="C165" s="40">
        <v>23214.130199999985</v>
      </c>
      <c r="D165" s="40">
        <v>0</v>
      </c>
      <c r="E165" s="40">
        <v>11510.590208103349</v>
      </c>
      <c r="F165" s="40">
        <v>23214.130199999985</v>
      </c>
      <c r="G165" s="40">
        <v>11510.590208103349</v>
      </c>
    </row>
    <row r="166" spans="1:7" ht="11.25" customHeight="1" x14ac:dyDescent="0.2">
      <c r="A166" s="50">
        <v>44531</v>
      </c>
      <c r="B166" s="40">
        <v>0</v>
      </c>
      <c r="C166" s="40">
        <v>22932.969479999989</v>
      </c>
      <c r="D166" s="40">
        <v>0</v>
      </c>
      <c r="E166" s="40">
        <v>11371.178315318528</v>
      </c>
      <c r="F166" s="40">
        <v>22932.969479999989</v>
      </c>
      <c r="G166" s="40">
        <v>11371.178315318528</v>
      </c>
    </row>
    <row r="167" spans="1:7" ht="11.25" customHeight="1" x14ac:dyDescent="0.2">
      <c r="A167" s="50">
        <v>44562</v>
      </c>
      <c r="B167" s="40">
        <v>0</v>
      </c>
      <c r="C167" s="40">
        <v>27674.035559999986</v>
      </c>
      <c r="D167" s="40">
        <v>0</v>
      </c>
      <c r="E167" s="40">
        <v>13722.008104169241</v>
      </c>
      <c r="F167" s="40">
        <v>27674.035559999986</v>
      </c>
      <c r="G167" s="40">
        <v>13722.008104169241</v>
      </c>
    </row>
    <row r="168" spans="1:7" ht="11.25" customHeight="1" x14ac:dyDescent="0.2">
      <c r="A168" s="50">
        <v>44593</v>
      </c>
      <c r="B168" s="40">
        <v>0</v>
      </c>
      <c r="C168" s="40">
        <v>29991.643199999977</v>
      </c>
      <c r="D168" s="40">
        <v>0</v>
      </c>
      <c r="E168" s="40">
        <v>14871.180249641633</v>
      </c>
      <c r="F168" s="40">
        <v>29991.643199999977</v>
      </c>
      <c r="G168" s="40">
        <v>14871.180249641633</v>
      </c>
    </row>
    <row r="169" spans="1:7" ht="11.25" customHeight="1" x14ac:dyDescent="0.2">
      <c r="A169" s="50">
        <v>44621</v>
      </c>
      <c r="B169" s="40">
        <v>0</v>
      </c>
      <c r="C169" s="40">
        <v>26823.729959999982</v>
      </c>
      <c r="D169" s="40">
        <v>0</v>
      </c>
      <c r="E169" s="40">
        <v>13300.389063139844</v>
      </c>
      <c r="F169" s="40">
        <v>26823.729959999982</v>
      </c>
      <c r="G169" s="40">
        <v>13300.389063139844</v>
      </c>
    </row>
    <row r="170" spans="1:7" ht="11.25" customHeight="1" x14ac:dyDescent="0.2">
      <c r="A170" s="50">
        <v>44652</v>
      </c>
      <c r="B170" s="40">
        <v>0</v>
      </c>
      <c r="C170" s="40">
        <v>22779.354599999988</v>
      </c>
      <c r="D170" s="40">
        <v>0</v>
      </c>
      <c r="E170" s="40">
        <v>11295.009278688116</v>
      </c>
      <c r="F170" s="40">
        <v>22779.354599999988</v>
      </c>
      <c r="G170" s="40">
        <v>11295.009278688116</v>
      </c>
    </row>
    <row r="171" spans="1:7" ht="11.25" customHeight="1" x14ac:dyDescent="0.2">
      <c r="A171" s="50">
        <v>44682</v>
      </c>
      <c r="B171" s="40">
        <v>0</v>
      </c>
      <c r="C171" s="40">
        <v>20457.810359999989</v>
      </c>
      <c r="D171" s="40">
        <v>0</v>
      </c>
      <c r="E171" s="40">
        <v>10143.885193210954</v>
      </c>
      <c r="F171" s="40">
        <v>20457.810359999989</v>
      </c>
      <c r="G171" s="40">
        <v>10143.885193210954</v>
      </c>
    </row>
    <row r="172" spans="1:7" ht="11.25" customHeight="1" x14ac:dyDescent="0.2">
      <c r="A172" s="50">
        <v>44713</v>
      </c>
      <c r="B172" s="40">
        <v>0</v>
      </c>
      <c r="C172" s="40">
        <v>26019.526319999986</v>
      </c>
      <c r="D172" s="40">
        <v>0</v>
      </c>
      <c r="E172" s="40">
        <v>12901.62940838849</v>
      </c>
      <c r="F172" s="40">
        <v>26019.526319999986</v>
      </c>
      <c r="G172" s="40">
        <v>12901.62940838849</v>
      </c>
    </row>
    <row r="173" spans="1:7" ht="11.25" customHeight="1" x14ac:dyDescent="0.2">
      <c r="A173" s="50">
        <v>44743</v>
      </c>
      <c r="B173" s="40">
        <v>0</v>
      </c>
      <c r="C173" s="40">
        <v>23590.031759999983</v>
      </c>
      <c r="D173" s="40">
        <v>0</v>
      </c>
      <c r="E173" s="40">
        <v>11696.978790336199</v>
      </c>
      <c r="F173" s="40">
        <v>23590.031759999983</v>
      </c>
      <c r="G173" s="40">
        <v>11696.978790336199</v>
      </c>
    </row>
    <row r="174" spans="1:7" ht="11.25" customHeight="1" x14ac:dyDescent="0.2">
      <c r="A174" s="50">
        <v>44774</v>
      </c>
      <c r="B174" s="40">
        <v>0</v>
      </c>
      <c r="C174" s="40">
        <v>23590.031759999983</v>
      </c>
      <c r="D174" s="40">
        <v>0</v>
      </c>
      <c r="E174" s="40">
        <v>11696.978790336199</v>
      </c>
      <c r="F174" s="40">
        <v>23590.031759999983</v>
      </c>
      <c r="G174" s="40">
        <v>11696.978790336199</v>
      </c>
    </row>
    <row r="175" spans="1:7" ht="11.25" customHeight="1" x14ac:dyDescent="0.2">
      <c r="A175" s="42" t="s">
        <v>634</v>
      </c>
      <c r="B175" s="40">
        <v>0</v>
      </c>
      <c r="C175" s="40">
        <v>0</v>
      </c>
      <c r="D175" s="40">
        <v>0</v>
      </c>
      <c r="E175" s="40">
        <v>0</v>
      </c>
      <c r="F175" s="40">
        <v>0</v>
      </c>
      <c r="G175" s="40">
        <v>0</v>
      </c>
    </row>
    <row r="176" spans="1:7" ht="11.25" customHeight="1" x14ac:dyDescent="0.2">
      <c r="A176" s="43" t="s">
        <v>22</v>
      </c>
      <c r="B176" s="40">
        <v>0</v>
      </c>
      <c r="C176" s="40">
        <v>0</v>
      </c>
      <c r="D176" s="40">
        <v>0</v>
      </c>
      <c r="E176" s="40">
        <v>0</v>
      </c>
      <c r="F176" s="40">
        <v>0</v>
      </c>
      <c r="G176" s="40">
        <v>0</v>
      </c>
    </row>
    <row r="177" spans="1:7" ht="11.25" customHeight="1" x14ac:dyDescent="0.2">
      <c r="A177" s="44" t="s">
        <v>23</v>
      </c>
      <c r="B177" s="40">
        <v>0</v>
      </c>
      <c r="C177" s="40">
        <v>0</v>
      </c>
      <c r="D177" s="40">
        <v>0</v>
      </c>
      <c r="E177" s="40">
        <v>0</v>
      </c>
      <c r="F177" s="40">
        <v>0</v>
      </c>
      <c r="G177" s="40">
        <v>0</v>
      </c>
    </row>
    <row r="178" spans="1:7" ht="11.25" customHeight="1" x14ac:dyDescent="0.2">
      <c r="A178" s="45" t="s">
        <v>24</v>
      </c>
      <c r="B178" s="40">
        <v>0</v>
      </c>
      <c r="C178" s="40">
        <v>0</v>
      </c>
      <c r="D178" s="40">
        <v>0</v>
      </c>
      <c r="E178" s="40">
        <v>0</v>
      </c>
      <c r="F178" s="40">
        <v>0</v>
      </c>
      <c r="G178" s="40">
        <v>0</v>
      </c>
    </row>
    <row r="179" spans="1:7" ht="11.25" customHeight="1" x14ac:dyDescent="0.2">
      <c r="A179" s="46" t="s">
        <v>24</v>
      </c>
      <c r="B179" s="40">
        <v>0</v>
      </c>
      <c r="C179" s="40">
        <v>0</v>
      </c>
      <c r="D179" s="40">
        <v>0</v>
      </c>
      <c r="E179" s="40">
        <v>0</v>
      </c>
      <c r="F179" s="40">
        <v>0</v>
      </c>
      <c r="G179" s="40">
        <v>0</v>
      </c>
    </row>
    <row r="180" spans="1:7" ht="11.25" customHeight="1" x14ac:dyDescent="0.2">
      <c r="A180" s="47" t="s">
        <v>25</v>
      </c>
      <c r="B180" s="40">
        <v>0</v>
      </c>
      <c r="C180" s="40">
        <v>0</v>
      </c>
      <c r="D180" s="40">
        <v>0</v>
      </c>
      <c r="E180" s="40">
        <v>0</v>
      </c>
      <c r="F180" s="40">
        <v>0</v>
      </c>
      <c r="G180" s="40">
        <v>0</v>
      </c>
    </row>
    <row r="181" spans="1:7" ht="11.25" customHeight="1" x14ac:dyDescent="0.2">
      <c r="A181" s="48" t="s">
        <v>25</v>
      </c>
      <c r="B181" s="40">
        <v>0</v>
      </c>
      <c r="C181" s="40">
        <v>0</v>
      </c>
      <c r="D181" s="40">
        <v>0</v>
      </c>
      <c r="E181" s="40">
        <v>0</v>
      </c>
      <c r="F181" s="40">
        <v>0</v>
      </c>
      <c r="G181" s="40">
        <v>0</v>
      </c>
    </row>
    <row r="182" spans="1:7" ht="11.25" customHeight="1" x14ac:dyDescent="0.2">
      <c r="A182" s="49" t="s">
        <v>25</v>
      </c>
      <c r="B182" s="40">
        <v>0</v>
      </c>
      <c r="C182" s="40">
        <v>0</v>
      </c>
      <c r="D182" s="40">
        <v>0</v>
      </c>
      <c r="E182" s="40">
        <v>0</v>
      </c>
      <c r="F182" s="40">
        <v>0</v>
      </c>
      <c r="G182" s="40">
        <v>0</v>
      </c>
    </row>
    <row r="183" spans="1:7" ht="11.25" customHeight="1" x14ac:dyDescent="0.2">
      <c r="A183" s="50">
        <v>44440</v>
      </c>
      <c r="B183" s="40">
        <v>0</v>
      </c>
      <c r="C183" s="40">
        <v>0</v>
      </c>
      <c r="D183" s="40">
        <v>0</v>
      </c>
      <c r="E183" s="40">
        <v>0</v>
      </c>
      <c r="F183" s="40">
        <v>0</v>
      </c>
      <c r="G183" s="40">
        <v>0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3428-5AC9-48B9-9639-3E10E9BE82B5}">
  <dimension ref="A1:V35"/>
  <sheetViews>
    <sheetView showGridLines="0" workbookViewId="0">
      <selection sqref="A1:J1"/>
    </sheetView>
  </sheetViews>
  <sheetFormatPr defaultRowHeight="11.25" customHeight="1" x14ac:dyDescent="0.3"/>
  <cols>
    <col min="1" max="1" width="9" style="8" bestFit="1" customWidth="1"/>
    <col min="2" max="2" width="10.33203125" style="8" bestFit="1" customWidth="1"/>
    <col min="3" max="3" width="9.5546875" style="8" bestFit="1" customWidth="1"/>
    <col min="4" max="4" width="5.88671875" style="8" bestFit="1" customWidth="1"/>
    <col min="5" max="10" width="7.77734375" style="8" customWidth="1"/>
    <col min="11" max="12" width="8.88671875" style="8"/>
    <col min="13" max="13" width="14.33203125" style="8" customWidth="1"/>
    <col min="14" max="14" width="16.77734375" style="8" customWidth="1"/>
    <col min="15" max="15" width="31.77734375" style="8" customWidth="1"/>
    <col min="16" max="22" width="7.77734375" style="8" customWidth="1"/>
    <col min="23" max="16384" width="8.88671875" style="8"/>
  </cols>
  <sheetData>
    <row r="1" spans="1:22" ht="11.25" customHeight="1" x14ac:dyDescent="0.3">
      <c r="A1" s="86" t="s">
        <v>686</v>
      </c>
      <c r="B1" s="102"/>
      <c r="C1" s="102"/>
      <c r="D1" s="102"/>
      <c r="E1" s="102"/>
      <c r="F1" s="102"/>
      <c r="G1" s="102"/>
      <c r="H1" s="102"/>
      <c r="I1" s="102"/>
      <c r="J1" s="102"/>
      <c r="L1" s="86" t="s">
        <v>696</v>
      </c>
      <c r="M1" s="87"/>
      <c r="N1" s="87"/>
      <c r="O1" s="87"/>
      <c r="P1" s="87"/>
      <c r="Q1" s="87"/>
      <c r="R1" s="87"/>
      <c r="S1" s="87"/>
      <c r="T1" s="87"/>
      <c r="U1" s="87"/>
      <c r="V1" s="87"/>
    </row>
    <row r="2" spans="1:22" ht="11.25" customHeight="1" x14ac:dyDescent="0.3">
      <c r="A2" s="97" t="s">
        <v>59</v>
      </c>
      <c r="B2" s="97" t="s">
        <v>60</v>
      </c>
      <c r="C2" s="97" t="s">
        <v>687</v>
      </c>
      <c r="D2" s="97" t="s">
        <v>65</v>
      </c>
      <c r="E2" s="97" t="s">
        <v>688</v>
      </c>
      <c r="F2" s="101"/>
      <c r="G2" s="101"/>
      <c r="H2" s="97" t="s">
        <v>465</v>
      </c>
      <c r="I2" s="101"/>
      <c r="J2" s="101"/>
      <c r="L2" s="97" t="s">
        <v>59</v>
      </c>
      <c r="M2" s="97" t="s">
        <v>60</v>
      </c>
      <c r="N2" s="97" t="s">
        <v>61</v>
      </c>
      <c r="O2" s="97" t="s">
        <v>62</v>
      </c>
      <c r="P2" s="97" t="s">
        <v>65</v>
      </c>
      <c r="Q2" s="97" t="s">
        <v>688</v>
      </c>
      <c r="R2" s="103"/>
      <c r="S2" s="103"/>
      <c r="T2" s="97" t="s">
        <v>465</v>
      </c>
      <c r="U2" s="103"/>
      <c r="V2" s="103"/>
    </row>
    <row r="3" spans="1:22" ht="11.25" customHeight="1" x14ac:dyDescent="0.3">
      <c r="A3" s="101"/>
      <c r="B3" s="101"/>
      <c r="C3" s="101"/>
      <c r="D3" s="101"/>
      <c r="E3" s="97" t="s">
        <v>423</v>
      </c>
      <c r="F3" s="101"/>
      <c r="G3" s="30" t="s">
        <v>451</v>
      </c>
      <c r="H3" s="97" t="s">
        <v>423</v>
      </c>
      <c r="I3" s="101"/>
      <c r="J3" s="30" t="s">
        <v>451</v>
      </c>
      <c r="L3" s="103"/>
      <c r="M3" s="103"/>
      <c r="N3" s="103"/>
      <c r="O3" s="103"/>
      <c r="P3" s="103"/>
      <c r="Q3" s="97" t="s">
        <v>423</v>
      </c>
      <c r="R3" s="103"/>
      <c r="S3" s="30" t="s">
        <v>451</v>
      </c>
      <c r="T3" s="97" t="s">
        <v>423</v>
      </c>
      <c r="U3" s="103"/>
      <c r="V3" s="30" t="s">
        <v>451</v>
      </c>
    </row>
    <row r="4" spans="1:22" ht="11.25" customHeight="1" x14ac:dyDescent="0.3">
      <c r="A4" s="101"/>
      <c r="B4" s="101"/>
      <c r="C4" s="101"/>
      <c r="D4" s="101"/>
      <c r="E4" s="30" t="s">
        <v>689</v>
      </c>
      <c r="F4" s="30" t="s">
        <v>690</v>
      </c>
      <c r="G4" s="30" t="s">
        <v>690</v>
      </c>
      <c r="H4" s="30" t="s">
        <v>689</v>
      </c>
      <c r="I4" s="30" t="s">
        <v>690</v>
      </c>
      <c r="J4" s="30" t="s">
        <v>690</v>
      </c>
      <c r="L4" s="103"/>
      <c r="M4" s="103"/>
      <c r="N4" s="103"/>
      <c r="O4" s="103"/>
      <c r="P4" s="103"/>
      <c r="Q4" s="30" t="s">
        <v>689</v>
      </c>
      <c r="R4" s="30" t="s">
        <v>690</v>
      </c>
      <c r="S4" s="30" t="s">
        <v>690</v>
      </c>
      <c r="T4" s="30" t="s">
        <v>689</v>
      </c>
      <c r="U4" s="30" t="s">
        <v>690</v>
      </c>
      <c r="V4" s="30" t="s">
        <v>690</v>
      </c>
    </row>
    <row r="5" spans="1:22" ht="11.25" customHeight="1" x14ac:dyDescent="0.3">
      <c r="A5" s="100" t="s">
        <v>35</v>
      </c>
      <c r="B5" s="100" t="s">
        <v>50</v>
      </c>
      <c r="C5" s="100" t="s">
        <v>25</v>
      </c>
      <c r="D5" s="31" t="s">
        <v>691</v>
      </c>
      <c r="E5" s="29">
        <f ca="1">ROUND('TUSD BE'!$AM$5+'TUSD BF'!$AM$5+'TUSD CVA'!$AM$5,2)</f>
        <v>117.45</v>
      </c>
      <c r="F5" s="29">
        <f ca="1">ROUND('TUSD BE'!$AM$7+'TUSD BF'!$AM$7+'TUSD CVA'!$AM$7,2)</f>
        <v>101.06</v>
      </c>
      <c r="G5" s="29">
        <f>ROUND('TE BE'!$AB$5+'TE BF'!$AB$5+'TE CVA'!$AB$5,2)</f>
        <v>122.59</v>
      </c>
      <c r="H5" s="29">
        <f ca="1">ROUND('TUSD BE'!$AM$5,2)</f>
        <v>137.12</v>
      </c>
      <c r="I5" s="29">
        <f ca="1">ROUND('TUSD BE'!$AM$7,2)</f>
        <v>102.02</v>
      </c>
      <c r="J5" s="29">
        <f>ROUND('TE BE'!$AB$5,2)</f>
        <v>124.87</v>
      </c>
      <c r="L5" s="104" t="s">
        <v>22</v>
      </c>
      <c r="M5" s="104" t="s">
        <v>697</v>
      </c>
      <c r="N5" s="104" t="s">
        <v>698</v>
      </c>
      <c r="O5" s="104" t="s">
        <v>698</v>
      </c>
      <c r="P5" s="31" t="s">
        <v>691</v>
      </c>
      <c r="Q5" s="29">
        <v>0</v>
      </c>
      <c r="R5" s="29">
        <f ca="1">ROUND('TUSD BE'!$AM$17+'TUSD BF'!$AM$17+'TUSD CVA'!$AM$17,2)</f>
        <v>1564.94</v>
      </c>
      <c r="S5" s="29">
        <f>ROUND('TE BE'!$AB$7+'TE BF'!$AB$7+'TE CVA'!$AB$7,2)</f>
        <v>122.59</v>
      </c>
      <c r="T5" s="29">
        <v>0</v>
      </c>
      <c r="U5" s="29">
        <f ca="1">ROUND('TUSD BE'!$AM$17,2)</f>
        <v>1823.58</v>
      </c>
      <c r="V5" s="29">
        <f>ROUND('TE BE'!$AB$7,2)</f>
        <v>124.87</v>
      </c>
    </row>
    <row r="6" spans="1:22" ht="11.25" customHeight="1" x14ac:dyDescent="0.3">
      <c r="A6" s="101"/>
      <c r="B6" s="101"/>
      <c r="C6" s="101"/>
      <c r="D6" s="31" t="s">
        <v>692</v>
      </c>
      <c r="E6" s="29">
        <f ca="1">ROUND('TUSD BE'!$AM$6+'TUSD BF'!$AM$6+'TUSD CVA'!$AM$6,2)</f>
        <v>41.45</v>
      </c>
      <c r="F6" s="29">
        <f ca="1">ROUND('TUSD BE'!$AM$7+'TUSD BF'!$AM$7+'TUSD CVA'!$AM$7,2)</f>
        <v>101.06</v>
      </c>
      <c r="G6" s="29">
        <f>ROUND('TE BE'!$AB$6+'TE BF'!$AB$6+'TE CVA'!$AB$6,2)</f>
        <v>122.59</v>
      </c>
      <c r="H6" s="29">
        <f ca="1">ROUND('TUSD BE'!$AM$6,2)</f>
        <v>47.11</v>
      </c>
      <c r="I6" s="29">
        <f ca="1">ROUND('TUSD BE'!$AM$7,2)</f>
        <v>102.02</v>
      </c>
      <c r="J6" s="29">
        <f>ROUND('TE BE'!$AB$6,2)</f>
        <v>124.87</v>
      </c>
      <c r="L6" s="105"/>
      <c r="M6" s="105"/>
      <c r="N6" s="105"/>
      <c r="O6" s="105"/>
      <c r="P6" s="31" t="s">
        <v>699</v>
      </c>
      <c r="Q6" s="29">
        <v>0</v>
      </c>
      <c r="R6" s="29">
        <f ca="1">ROUND('TUSD BE'!$AM$18+'TUSD BF'!$AM$18+'TUSD CVA'!$AM$18,2)</f>
        <v>989.85</v>
      </c>
      <c r="S6" s="29">
        <f>ROUND('TE BE'!$AB$8+'TE BF'!$AB$8+'TE CVA'!$AB$8,2)</f>
        <v>122.59</v>
      </c>
      <c r="T6" s="29">
        <v>0</v>
      </c>
      <c r="U6" s="29">
        <f ca="1">ROUND('TUSD BE'!$AM$18,2)</f>
        <v>1145.56</v>
      </c>
      <c r="V6" s="29">
        <f>ROUND('TE BE'!$AB$8,2)</f>
        <v>124.87</v>
      </c>
    </row>
    <row r="7" spans="1:22" ht="11.25" customHeight="1" x14ac:dyDescent="0.3">
      <c r="A7" s="101"/>
      <c r="B7" s="100" t="s">
        <v>693</v>
      </c>
      <c r="C7" s="100" t="s">
        <v>25</v>
      </c>
      <c r="D7" s="31" t="s">
        <v>691</v>
      </c>
      <c r="E7" s="29">
        <f ca="1">ROUND('TUSD BE'!$AM$5+'TUSD BF'!$AM$5+'TUSD CVA'!$AM$5,2)</f>
        <v>117.45</v>
      </c>
      <c r="F7" s="29">
        <f ca="1">ROUND('TUSD BE'!$AM$8+'TUSD BF'!$AM$8+'TUSD CVA'!$AM$8,2)</f>
        <v>11.61</v>
      </c>
      <c r="G7" s="29">
        <v>0</v>
      </c>
      <c r="H7" s="29">
        <f ca="1">ROUND('TUSD BE'!$AM$5,2)</f>
        <v>137.12</v>
      </c>
      <c r="I7" s="29">
        <f ca="1">ROUND('TUSD BE'!$AM$8,2)</f>
        <v>11.82</v>
      </c>
      <c r="J7" s="29">
        <v>0</v>
      </c>
      <c r="L7" s="105"/>
      <c r="M7" s="106"/>
      <c r="N7" s="106"/>
      <c r="O7" s="106"/>
      <c r="P7" s="31" t="s">
        <v>692</v>
      </c>
      <c r="Q7" s="29">
        <v>0</v>
      </c>
      <c r="R7" s="29">
        <f ca="1">ROUND('TUSD BE'!$AM$19+'TUSD BF'!$AM$19+'TUSD CVA'!$AM$19,2)</f>
        <v>414.76</v>
      </c>
      <c r="S7" s="29">
        <f>ROUND('TE BE'!$AB$9+'TE BF'!$AB$9+'TE CVA'!$AB$9,2)</f>
        <v>122.59</v>
      </c>
      <c r="T7" s="29">
        <v>0</v>
      </c>
      <c r="U7" s="29">
        <f ca="1">ROUND('TUSD BE'!$AM$19,2)</f>
        <v>467.53</v>
      </c>
      <c r="V7" s="29">
        <f>ROUND('TE BE'!$AB$9,2)</f>
        <v>124.87</v>
      </c>
    </row>
    <row r="8" spans="1:22" ht="11.25" customHeight="1" x14ac:dyDescent="0.3">
      <c r="A8" s="101"/>
      <c r="B8" s="101"/>
      <c r="C8" s="101"/>
      <c r="D8" s="31" t="s">
        <v>692</v>
      </c>
      <c r="E8" s="29">
        <f ca="1">ROUND('TUSD BE'!$AM$6+'TUSD BF'!$AM$6+'TUSD CVA'!$AM$6,2)</f>
        <v>41.45</v>
      </c>
      <c r="F8" s="29">
        <f ca="1">ROUND('TUSD BE'!$AM$8+'TUSD BF'!$AM$8+'TUSD CVA'!$AM$8,2)</f>
        <v>11.61</v>
      </c>
      <c r="G8" s="29">
        <v>0</v>
      </c>
      <c r="H8" s="29">
        <f ca="1">ROUND('TUSD BE'!$AM$6,2)</f>
        <v>47.11</v>
      </c>
      <c r="I8" s="29">
        <f ca="1">ROUND('TUSD BE'!$AM$8,2)</f>
        <v>11.82</v>
      </c>
      <c r="J8" s="29">
        <v>0</v>
      </c>
      <c r="L8" s="105"/>
      <c r="M8" s="31" t="s">
        <v>700</v>
      </c>
      <c r="N8" s="31" t="s">
        <v>698</v>
      </c>
      <c r="O8" s="31" t="s">
        <v>698</v>
      </c>
      <c r="P8" s="31" t="s">
        <v>694</v>
      </c>
      <c r="Q8" s="29">
        <v>0</v>
      </c>
      <c r="R8" s="29">
        <f ca="1">ROUND('TUSD BE'!$AM$25+'TUSD BF'!$AM$25+'TUSD CVA'!$AM$25,2)</f>
        <v>659.72</v>
      </c>
      <c r="S8" s="29">
        <f>ROUND('TE BE'!$AB$15+'TE BF'!$AB$15+'TE CVA'!$AB$15,2)</f>
        <v>122.59</v>
      </c>
      <c r="T8" s="29">
        <v>0</v>
      </c>
      <c r="U8" s="29">
        <f ca="1">ROUND('TUSD BE'!$AM$25,2)</f>
        <v>756.33</v>
      </c>
      <c r="V8" s="29">
        <f>ROUND('TE BE'!$AB$15,2)</f>
        <v>124.87</v>
      </c>
    </row>
    <row r="9" spans="1:22" ht="11.25" customHeight="1" x14ac:dyDescent="0.3">
      <c r="A9" s="101"/>
      <c r="B9" s="100" t="s">
        <v>36</v>
      </c>
      <c r="C9" s="100" t="s">
        <v>25</v>
      </c>
      <c r="D9" s="31" t="s">
        <v>694</v>
      </c>
      <c r="E9" s="29">
        <f ca="1">ROUND('TUSD BE'!$AM$10+'TUSD BF'!$AM$10+'TUSD CVA'!$AM$10,2)</f>
        <v>41.45</v>
      </c>
      <c r="F9" s="29">
        <v>0</v>
      </c>
      <c r="G9" s="29">
        <v>0</v>
      </c>
      <c r="H9" s="29">
        <f ca="1">ROUND('TUSD BE'!$AM$10,2)</f>
        <v>47.11</v>
      </c>
      <c r="I9" s="29">
        <v>0</v>
      </c>
      <c r="J9" s="29">
        <v>0</v>
      </c>
      <c r="L9" s="105"/>
      <c r="M9" s="31" t="s">
        <v>702</v>
      </c>
      <c r="N9" s="31" t="s">
        <v>698</v>
      </c>
      <c r="O9" s="31" t="s">
        <v>698</v>
      </c>
      <c r="P9" s="31" t="s">
        <v>694</v>
      </c>
      <c r="Q9" s="29">
        <v>0</v>
      </c>
      <c r="R9" s="29">
        <f ca="1">ROUND('TUSD BE'!$AM$20+'TUSD BF'!$AM$20+'TUSD CVA'!$AM$20,2)</f>
        <v>659.72</v>
      </c>
      <c r="S9" s="29">
        <f>ROUND('TE BE'!$AB$10+'TE BF'!$AB$10+'TE CVA'!$AB$10,2)</f>
        <v>122.59</v>
      </c>
      <c r="T9" s="29">
        <v>0</v>
      </c>
      <c r="U9" s="29">
        <f ca="1">ROUND('TUSD BE'!$AM$20,2)</f>
        <v>756.33</v>
      </c>
      <c r="V9" s="29">
        <f>ROUND('TE BE'!$AB$10,2)</f>
        <v>124.87</v>
      </c>
    </row>
    <row r="10" spans="1:22" ht="11.25" customHeight="1" x14ac:dyDescent="0.3">
      <c r="A10" s="101"/>
      <c r="B10" s="101"/>
      <c r="C10" s="101"/>
      <c r="D10" s="31" t="s">
        <v>691</v>
      </c>
      <c r="E10" s="29">
        <v>0</v>
      </c>
      <c r="F10" s="29">
        <f ca="1">ROUND('TUSD BE'!$AM$11+'TUSD BF'!$AM$11+'TUSD CVA'!$AM$11,2)</f>
        <v>2926.32</v>
      </c>
      <c r="G10" s="29">
        <f>ROUND('TE BE'!$AB$5+'TE BF'!$AB$5+'TE CVA'!$AB$5,2)</f>
        <v>122.59</v>
      </c>
      <c r="H10" s="29">
        <v>0</v>
      </c>
      <c r="I10" s="29">
        <f ca="1">ROUND('TUSD BE'!$AM$11,2)</f>
        <v>3400.42</v>
      </c>
      <c r="J10" s="29">
        <f>ROUND('TE BE'!$AB$5,2)</f>
        <v>124.87</v>
      </c>
      <c r="L10" s="105"/>
      <c r="M10" s="31" t="s">
        <v>700</v>
      </c>
      <c r="N10" s="31" t="s">
        <v>698</v>
      </c>
      <c r="O10" s="31" t="s">
        <v>701</v>
      </c>
      <c r="P10" s="31" t="s">
        <v>694</v>
      </c>
      <c r="Q10" s="29">
        <v>0</v>
      </c>
      <c r="R10" s="29">
        <f ca="1">ROUND('TUSD BE'!$AM$26+'TUSD BF'!$AM$26+'TUSD CVA'!$AM$26,2)</f>
        <v>555.92999999999995</v>
      </c>
      <c r="S10" s="29">
        <f>ROUND('TE BE'!$AB$16+'TE BF'!$AB$16+'TE CVA'!$AB$16,2)</f>
        <v>122.59</v>
      </c>
      <c r="T10" s="29">
        <v>0</v>
      </c>
      <c r="U10" s="29">
        <f ca="1">ROUND('TUSD BE'!$AM$26,2)</f>
        <v>651.66</v>
      </c>
      <c r="V10" s="29">
        <f>ROUND('TE BE'!$AB$16,2)</f>
        <v>124.87</v>
      </c>
    </row>
    <row r="11" spans="1:22" ht="11.25" customHeight="1" x14ac:dyDescent="0.3">
      <c r="A11" s="101"/>
      <c r="B11" s="101"/>
      <c r="C11" s="101"/>
      <c r="D11" s="31" t="s">
        <v>692</v>
      </c>
      <c r="E11" s="29">
        <v>0</v>
      </c>
      <c r="F11" s="29">
        <f ca="1">ROUND('TUSD BE'!$AM$12+'TUSD BF'!$AM$12+'TUSD CVA'!$AM$12,2)</f>
        <v>101.06</v>
      </c>
      <c r="G11" s="29">
        <f>ROUND('TE BE'!$AB$6+'TE BF'!$AB$6+'TE CVA'!$AB$6,2)</f>
        <v>122.59</v>
      </c>
      <c r="H11" s="29">
        <v>0</v>
      </c>
      <c r="I11" s="29">
        <f ca="1">ROUND('TUSD BE'!$AM$12,2)</f>
        <v>102.02</v>
      </c>
      <c r="J11" s="29">
        <f>ROUND('TE BE'!$AB$6,2)</f>
        <v>124.87</v>
      </c>
      <c r="L11" s="106"/>
      <c r="M11" s="31" t="s">
        <v>702</v>
      </c>
      <c r="N11" s="31" t="s">
        <v>698</v>
      </c>
      <c r="O11" s="31" t="s">
        <v>701</v>
      </c>
      <c r="P11" s="31" t="s">
        <v>694</v>
      </c>
      <c r="Q11" s="29">
        <v>0</v>
      </c>
      <c r="R11" s="29">
        <f ca="1">ROUND('TUSD BE'!$AM$21+'TUSD BF'!$AM$21+'TUSD CVA'!$AM$21,2)</f>
        <v>555.92999999999995</v>
      </c>
      <c r="S11" s="29">
        <f>ROUND('TE BE'!$AB$11+'TE BF'!$AB$11+'TE CVA'!$AB$11,2)</f>
        <v>122.59</v>
      </c>
      <c r="T11" s="29">
        <v>0</v>
      </c>
      <c r="U11" s="29">
        <f ca="1">ROUND('TUSD BE'!$AM$21,2)</f>
        <v>651.66</v>
      </c>
      <c r="V11" s="29">
        <f>ROUND('TE BE'!$AB$11,2)</f>
        <v>124.87</v>
      </c>
    </row>
    <row r="12" spans="1:22" ht="11.25" customHeight="1" x14ac:dyDescent="0.3">
      <c r="A12" s="101"/>
      <c r="B12" s="100" t="s">
        <v>695</v>
      </c>
      <c r="C12" s="100" t="s">
        <v>25</v>
      </c>
      <c r="D12" s="31" t="s">
        <v>694</v>
      </c>
      <c r="E12" s="29">
        <f ca="1">ROUND('TUSD BE'!$AM$10+'TUSD BF'!$AM$10+'TUSD CVA'!$AM$10,2)</f>
        <v>41.45</v>
      </c>
      <c r="F12" s="29">
        <v>0</v>
      </c>
      <c r="G12" s="29">
        <v>0</v>
      </c>
      <c r="H12" s="29">
        <f ca="1">ROUND('TUSD BE'!$AM$10,2)</f>
        <v>47.11</v>
      </c>
      <c r="I12" s="29">
        <v>0</v>
      </c>
      <c r="J12" s="29">
        <v>0</v>
      </c>
      <c r="L12" s="104" t="s">
        <v>42</v>
      </c>
      <c r="M12" s="104" t="s">
        <v>697</v>
      </c>
      <c r="N12" s="104" t="s">
        <v>703</v>
      </c>
      <c r="O12" s="104" t="s">
        <v>704</v>
      </c>
      <c r="P12" s="31" t="s">
        <v>691</v>
      </c>
      <c r="Q12" s="29">
        <v>0</v>
      </c>
      <c r="R12" s="29">
        <f ca="1">ROUND(('TUSD BE'!$AM$30+'TUSD BF'!$AM$30+'TUSD CVA'!$AM$30)*(1-CUSTOS!$M$38),2)</f>
        <v>1596.2</v>
      </c>
      <c r="S12" s="29">
        <f>ROUND(('TE BE'!$AB$20+'TE BF'!$AB$20+'TE CVA'!$AB$20)*(1-CUSTOS!$M$38),2)</f>
        <v>115.23</v>
      </c>
      <c r="T12" s="29">
        <v>0</v>
      </c>
      <c r="U12" s="29">
        <f ca="1">ROUND('TUSD BE'!$AM$30*(1-CUSTOS!$M$38),2)</f>
        <v>1861.73</v>
      </c>
      <c r="V12" s="29">
        <f>ROUND('TE BE'!$AB$20*(1-CUSTOS!$M$38),2)</f>
        <v>117.38</v>
      </c>
    </row>
    <row r="13" spans="1:22" ht="11.25" customHeight="1" x14ac:dyDescent="0.3">
      <c r="A13" s="101"/>
      <c r="B13" s="101"/>
      <c r="C13" s="101"/>
      <c r="D13" s="31" t="s">
        <v>691</v>
      </c>
      <c r="E13" s="29">
        <v>0</v>
      </c>
      <c r="F13" s="29">
        <f ca="1">ROUND('TUSD BE'!$AM$13+'TUSD BF'!$AM$13+'TUSD CVA'!$AM$13,2)</f>
        <v>2836.87</v>
      </c>
      <c r="G13" s="29">
        <v>0</v>
      </c>
      <c r="H13" s="29">
        <v>0</v>
      </c>
      <c r="I13" s="29">
        <f ca="1">ROUND('TUSD BE'!$AM$13,2)</f>
        <v>3310.22</v>
      </c>
      <c r="J13" s="29">
        <v>0</v>
      </c>
      <c r="L13" s="105"/>
      <c r="M13" s="105"/>
      <c r="N13" s="105"/>
      <c r="O13" s="105"/>
      <c r="P13" s="31" t="s">
        <v>699</v>
      </c>
      <c r="Q13" s="29">
        <v>0</v>
      </c>
      <c r="R13" s="29">
        <f ca="1">ROUND(('TUSD BE'!$AM$31+'TUSD BF'!$AM$31+'TUSD CVA'!$AM$31)*(1-CUSTOS!$M$38),2)</f>
        <v>1005.5</v>
      </c>
      <c r="S13" s="29">
        <f>ROUND(('TE BE'!$AB$21+'TE BF'!$AB$21+'TE CVA'!$AB$21)*(1-CUSTOS!$M$38),2)</f>
        <v>115.23</v>
      </c>
      <c r="T13" s="29">
        <v>0</v>
      </c>
      <c r="U13" s="29">
        <f ca="1">ROUND('TUSD BE'!$AM$31*(1-CUSTOS!$M$38),2)</f>
        <v>1165.3</v>
      </c>
      <c r="V13" s="29">
        <f>ROUND('TE BE'!$AB$21*(1-CUSTOS!$M$38),2)</f>
        <v>117.38</v>
      </c>
    </row>
    <row r="14" spans="1:22" ht="11.25" customHeight="1" x14ac:dyDescent="0.3">
      <c r="A14" s="101"/>
      <c r="B14" s="101"/>
      <c r="C14" s="101"/>
      <c r="D14" s="31" t="s">
        <v>692</v>
      </c>
      <c r="E14" s="29">
        <v>0</v>
      </c>
      <c r="F14" s="29">
        <f ca="1">ROUND('TUSD BE'!$AM$14+'TUSD BF'!$AM$14+'TUSD CVA'!$AM$14,2)</f>
        <v>11.61</v>
      </c>
      <c r="G14" s="29">
        <v>0</v>
      </c>
      <c r="H14" s="29">
        <v>0</v>
      </c>
      <c r="I14" s="29">
        <f ca="1">ROUND('TUSD BE'!$AM$14,2)</f>
        <v>11.82</v>
      </c>
      <c r="J14" s="29">
        <v>0</v>
      </c>
      <c r="L14" s="105"/>
      <c r="M14" s="106"/>
      <c r="N14" s="106"/>
      <c r="O14" s="106"/>
      <c r="P14" s="31" t="s">
        <v>692</v>
      </c>
      <c r="Q14" s="29">
        <v>0</v>
      </c>
      <c r="R14" s="29">
        <f ca="1">ROUND(('TUSD BE'!$AM$32+'TUSD BF'!$AM$32+'TUSD CVA'!$AM$32)*(1-CUSTOS!$M$38),2)</f>
        <v>414.91</v>
      </c>
      <c r="S14" s="29">
        <f>ROUND(('TE BE'!$AB$22+'TE BF'!$AB$22+'TE CVA'!$AB$22)*(1-CUSTOS!$M$38),2)</f>
        <v>115.23</v>
      </c>
      <c r="T14" s="29">
        <v>0</v>
      </c>
      <c r="U14" s="29">
        <f ca="1">ROUND('TUSD BE'!$AM$32*(1-CUSTOS!$M$38),2)</f>
        <v>468.99</v>
      </c>
      <c r="V14" s="29">
        <f>ROUND('TE BE'!$AB$22*(1-CUSTOS!$M$38),2)</f>
        <v>117.38</v>
      </c>
    </row>
    <row r="15" spans="1:22" ht="11.25" customHeight="1" x14ac:dyDescent="0.3">
      <c r="A15" s="101"/>
      <c r="B15" s="31" t="s">
        <v>77</v>
      </c>
      <c r="C15" s="31" t="s">
        <v>25</v>
      </c>
      <c r="D15" s="31" t="s">
        <v>694</v>
      </c>
      <c r="E15" s="29">
        <f ca="1">ROUND('TUSD BE'!$AM$9+'TUSD BF'!$AM$9+'TUSD CVA'!$AM$9,2)</f>
        <v>13.26</v>
      </c>
      <c r="F15" s="29">
        <v>0</v>
      </c>
      <c r="G15" s="29">
        <v>0</v>
      </c>
      <c r="H15" s="29">
        <f ca="1">ROUND('TUSD BE'!$AM$9,2)</f>
        <v>16.13</v>
      </c>
      <c r="I15" s="29">
        <v>0</v>
      </c>
      <c r="J15" s="29">
        <v>0</v>
      </c>
      <c r="L15" s="105"/>
      <c r="M15" s="31" t="s">
        <v>700</v>
      </c>
      <c r="N15" s="31" t="s">
        <v>703</v>
      </c>
      <c r="O15" s="31" t="s">
        <v>704</v>
      </c>
      <c r="P15" s="31" t="s">
        <v>694</v>
      </c>
      <c r="Q15" s="29">
        <v>0</v>
      </c>
      <c r="R15" s="29">
        <f ca="1">ROUND(('TUSD BE'!$AM$42+'TUSD BF'!$AM$42+'TUSD CVA'!$AM$42)*(1-CUSTOS!$M$38),2)</f>
        <v>620.13</v>
      </c>
      <c r="S15" s="29">
        <f>ROUND(('TE BE'!$AB$32+'TE BF'!$AB$32+'TE CVA'!$AB$32)*(1-CUSTOS!$M$38),2)</f>
        <v>115.23</v>
      </c>
      <c r="T15" s="29">
        <v>0</v>
      </c>
      <c r="U15" s="29">
        <f ca="1">ROUND(('TUSD BE'!$AM$42)*(1-CUSTOS!$M$38),2)</f>
        <v>710.95</v>
      </c>
      <c r="V15" s="29">
        <f>ROUND(('TE BE'!$AB$32)*(1-CUSTOS!$M$38),2)</f>
        <v>117.38</v>
      </c>
    </row>
    <row r="16" spans="1:22" ht="11.25" customHeight="1" x14ac:dyDescent="0.3">
      <c r="L16" s="105"/>
      <c r="M16" s="31" t="s">
        <v>702</v>
      </c>
      <c r="N16" s="31" t="s">
        <v>703</v>
      </c>
      <c r="O16" s="31" t="s">
        <v>704</v>
      </c>
      <c r="P16" s="31" t="s">
        <v>694</v>
      </c>
      <c r="Q16" s="29">
        <v>0</v>
      </c>
      <c r="R16" s="29">
        <f ca="1">ROUND(('TUSD BE'!$AM$33+'TUSD BF'!$AM$33+'TUSD CVA'!$AM$33)*(1-CUSTOS!$M$38),2)</f>
        <v>620.13</v>
      </c>
      <c r="S16" s="29">
        <f>ROUND(('TE BE'!$AB$23+'TE BF'!$AB$23+'TE CVA'!$AB$23)*(1-CUSTOS!$M$38),2)</f>
        <v>115.23</v>
      </c>
      <c r="T16" s="29">
        <v>0</v>
      </c>
      <c r="U16" s="29">
        <f ca="1">ROUND(('TUSD BE'!$AM$33)*(1-CUSTOS!$M$38),2)</f>
        <v>710.95</v>
      </c>
      <c r="V16" s="29">
        <f>ROUND(('TE BE'!$AB$23)*(1-CUSTOS!$M$38),2)</f>
        <v>117.38</v>
      </c>
    </row>
    <row r="17" spans="12:22" ht="11.25" customHeight="1" x14ac:dyDescent="0.3">
      <c r="L17" s="105"/>
      <c r="M17" s="104" t="s">
        <v>697</v>
      </c>
      <c r="N17" s="104" t="s">
        <v>703</v>
      </c>
      <c r="O17" s="104" t="s">
        <v>705</v>
      </c>
      <c r="P17" s="31" t="s">
        <v>691</v>
      </c>
      <c r="Q17" s="29">
        <v>0</v>
      </c>
      <c r="R17" s="29">
        <f ca="1">ROUND(('TUSD BE'!$AM$34+'TUSD BF'!$AM$34+'TUSD CVA'!$AM$34)*(1-CUSTOS!$M$39),2)</f>
        <v>1596.2</v>
      </c>
      <c r="S17" s="29">
        <f>ROUND(('TE BE'!$AB$24+'TE BF'!$AB$24+'TE CVA'!$AB$24)*(1-CUSTOS!$M$39),2)</f>
        <v>115.23</v>
      </c>
      <c r="T17" s="29">
        <v>0</v>
      </c>
      <c r="U17" s="29">
        <f ca="1">ROUND('TUSD BE'!$AM$34*(1-CUSTOS!$M$39),2)</f>
        <v>1861.73</v>
      </c>
      <c r="V17" s="29">
        <f>ROUND('TE BE'!$AB$24*(1-CUSTOS!$M$39),2)</f>
        <v>117.38</v>
      </c>
    </row>
    <row r="18" spans="12:22" ht="11.25" customHeight="1" x14ac:dyDescent="0.3">
      <c r="L18" s="105"/>
      <c r="M18" s="105"/>
      <c r="N18" s="105"/>
      <c r="O18" s="105"/>
      <c r="P18" s="31" t="s">
        <v>699</v>
      </c>
      <c r="Q18" s="29">
        <v>0</v>
      </c>
      <c r="R18" s="29">
        <f ca="1">ROUND(('TUSD BE'!$AM$35+'TUSD BF'!$AM$35+'TUSD CVA'!$AM$35)*(1-CUSTOS!$M$39),2)</f>
        <v>1005.5</v>
      </c>
      <c r="S18" s="29">
        <f>ROUND(('TE BE'!$AB$25+'TE BF'!$AB$25+'TE CVA'!$AB$25)*(1-CUSTOS!$M$39),2)</f>
        <v>115.23</v>
      </c>
      <c r="T18" s="29">
        <v>0</v>
      </c>
      <c r="U18" s="29">
        <f ca="1">ROUND('TUSD BE'!$AM$35*(1-CUSTOS!$M$39),2)</f>
        <v>1165.3</v>
      </c>
      <c r="V18" s="29">
        <f>ROUND('TE BE'!$AB$25*(1-CUSTOS!$M$39),2)</f>
        <v>117.38</v>
      </c>
    </row>
    <row r="19" spans="12:22" ht="11.25" customHeight="1" x14ac:dyDescent="0.3">
      <c r="L19" s="105"/>
      <c r="M19" s="106"/>
      <c r="N19" s="106"/>
      <c r="O19" s="106"/>
      <c r="P19" s="31" t="s">
        <v>692</v>
      </c>
      <c r="Q19" s="29">
        <v>0</v>
      </c>
      <c r="R19" s="29">
        <f ca="1">ROUND(('TUSD BE'!$AM$36+'TUSD BF'!$AM$36+'TUSD CVA'!$AM$36)*(1-CUSTOS!$M$39),2)</f>
        <v>414.91</v>
      </c>
      <c r="S19" s="29">
        <f>ROUND(('TE BE'!$AB$26+'TE BF'!$AB$26+'TE CVA'!$AB$26)*(1-CUSTOS!$M$39),2)</f>
        <v>115.23</v>
      </c>
      <c r="T19" s="29">
        <v>0</v>
      </c>
      <c r="U19" s="29">
        <f ca="1">ROUND('TUSD BE'!$AM$36*(1-CUSTOS!$M$39),2)</f>
        <v>468.99</v>
      </c>
      <c r="V19" s="29">
        <f>ROUND('TE BE'!$AB$26*(1-CUSTOS!$M$39),2)</f>
        <v>117.38</v>
      </c>
    </row>
    <row r="20" spans="12:22" ht="11.25" customHeight="1" x14ac:dyDescent="0.3">
      <c r="L20" s="105"/>
      <c r="M20" s="31" t="s">
        <v>700</v>
      </c>
      <c r="N20" s="31" t="s">
        <v>703</v>
      </c>
      <c r="O20" s="31" t="s">
        <v>705</v>
      </c>
      <c r="P20" s="31" t="s">
        <v>694</v>
      </c>
      <c r="Q20" s="29">
        <v>0</v>
      </c>
      <c r="R20" s="29">
        <f ca="1">ROUND(('TUSD BE'!$AM$42+'TUSD BF'!$AM$42+'TUSD CVA'!$AM$42)*(1-CUSTOS!$M$39),2)</f>
        <v>620.13</v>
      </c>
      <c r="S20" s="29">
        <f>ROUND(('TE BE'!$AB$32+'TE BF'!$AB$32+'TE CVA'!$AB$32)*(1-CUSTOS!$M$39),2)</f>
        <v>115.23</v>
      </c>
      <c r="T20" s="29">
        <v>0</v>
      </c>
      <c r="U20" s="29">
        <f ca="1">ROUND(('TUSD BE'!$AM$42)*(1-CUSTOS!$M$39),2)</f>
        <v>710.95</v>
      </c>
      <c r="V20" s="29">
        <f>ROUND(('TE BE'!$AB$32)*(1-CUSTOS!$M$39),2)</f>
        <v>117.38</v>
      </c>
    </row>
    <row r="21" spans="12:22" ht="11.25" customHeight="1" x14ac:dyDescent="0.3">
      <c r="L21" s="105"/>
      <c r="M21" s="31" t="s">
        <v>702</v>
      </c>
      <c r="N21" s="31" t="s">
        <v>703</v>
      </c>
      <c r="O21" s="31" t="s">
        <v>705</v>
      </c>
      <c r="P21" s="31" t="s">
        <v>694</v>
      </c>
      <c r="Q21" s="29">
        <v>0</v>
      </c>
      <c r="R21" s="29">
        <f ca="1">ROUND(('TUSD BE'!$AM$33+'TUSD BF'!$AM$33+'TUSD CVA'!$AM$33)*(1-CUSTOS!$M$39),2)</f>
        <v>620.13</v>
      </c>
      <c r="S21" s="29">
        <f>ROUND(('TE BE'!$AB$23+'TE BF'!$AB$23+'TE CVA'!$AB$23)*(1-CUSTOS!$M$39),2)</f>
        <v>115.23</v>
      </c>
      <c r="T21" s="29">
        <v>0</v>
      </c>
      <c r="U21" s="29">
        <f ca="1">ROUND(('TUSD BE'!$AM$33)*(1-CUSTOS!$M$39),2)</f>
        <v>710.95</v>
      </c>
      <c r="V21" s="29">
        <f>ROUND(('TE BE'!$AB$23)*(1-CUSTOS!$M$39),2)</f>
        <v>117.38</v>
      </c>
    </row>
    <row r="22" spans="12:22" ht="11.25" customHeight="1" x14ac:dyDescent="0.3">
      <c r="L22" s="105"/>
      <c r="M22" s="104" t="s">
        <v>697</v>
      </c>
      <c r="N22" s="104" t="s">
        <v>703</v>
      </c>
      <c r="O22" s="104" t="s">
        <v>706</v>
      </c>
      <c r="P22" s="31" t="s">
        <v>691</v>
      </c>
      <c r="Q22" s="29">
        <v>0</v>
      </c>
      <c r="R22" s="29">
        <f ca="1">ROUND(('TUSD BE'!$AM$38+'TUSD BF'!$AM$38+'TUSD CVA'!$AM$38)*(1-CUSTOS!$M$40),2)</f>
        <v>1562.24</v>
      </c>
      <c r="S22" s="29">
        <f>ROUND(('TE BE'!$AB$28+'TE BF'!$AB$28+'TE CVA'!$AB$28)*(1-CUSTOS!$M$40),2)</f>
        <v>112.78</v>
      </c>
      <c r="T22" s="29">
        <v>0</v>
      </c>
      <c r="U22" s="29">
        <f ca="1">ROUND('TUSD BE'!$AM$38*(1-CUSTOS!$M$40),2)</f>
        <v>1822.12</v>
      </c>
      <c r="V22" s="29">
        <f>ROUND('TE BE'!$AB$28*(1-CUSTOS!$M$40),2)</f>
        <v>114.88</v>
      </c>
    </row>
    <row r="23" spans="12:22" ht="11.25" customHeight="1" x14ac:dyDescent="0.3">
      <c r="L23" s="105"/>
      <c r="M23" s="105"/>
      <c r="N23" s="105"/>
      <c r="O23" s="105"/>
      <c r="P23" s="31" t="s">
        <v>699</v>
      </c>
      <c r="Q23" s="29">
        <v>0</v>
      </c>
      <c r="R23" s="29">
        <f ca="1">ROUND(('TUSD BE'!$AM$39+'TUSD BF'!$AM$39+'TUSD CVA'!$AM$39)*(1-CUSTOS!$M$40),2)</f>
        <v>984.11</v>
      </c>
      <c r="S23" s="29">
        <f>ROUND(('TE BE'!$AB$29+'TE BF'!$AB$29+'TE CVA'!$AB$29)*(1-CUSTOS!$M$40),2)</f>
        <v>112.78</v>
      </c>
      <c r="T23" s="29">
        <v>0</v>
      </c>
      <c r="U23" s="29">
        <f ca="1">ROUND('TUSD BE'!$AM$39*(1-CUSTOS!$M$40),2)</f>
        <v>1140.5</v>
      </c>
      <c r="V23" s="29">
        <f>ROUND('TE BE'!$AB$29*(1-CUSTOS!$M$40),2)</f>
        <v>114.88</v>
      </c>
    </row>
    <row r="24" spans="12:22" ht="11.25" customHeight="1" x14ac:dyDescent="0.3">
      <c r="L24" s="105"/>
      <c r="M24" s="106"/>
      <c r="N24" s="106"/>
      <c r="O24" s="106"/>
      <c r="P24" s="31" t="s">
        <v>692</v>
      </c>
      <c r="Q24" s="29">
        <v>0</v>
      </c>
      <c r="R24" s="29">
        <f ca="1">ROUND(('TUSD BE'!$AM$40+'TUSD BF'!$AM$40+'TUSD CVA'!$AM$40)*(1-CUSTOS!$M$40),2)</f>
        <v>406.08</v>
      </c>
      <c r="S24" s="29">
        <f>ROUND(('TE BE'!$AB$30+'TE BF'!$AB$30+'TE CVA'!$AB$30)*(1-CUSTOS!$M$40),2)</f>
        <v>112.78</v>
      </c>
      <c r="T24" s="29">
        <v>0</v>
      </c>
      <c r="U24" s="29">
        <f ca="1">ROUND('TUSD BE'!$AM$40*(1-CUSTOS!$M$40),2)</f>
        <v>459.01</v>
      </c>
      <c r="V24" s="29">
        <f>ROUND('TE BE'!$AB$30*(1-CUSTOS!$M$40),2)</f>
        <v>114.88</v>
      </c>
    </row>
    <row r="25" spans="12:22" ht="11.25" customHeight="1" x14ac:dyDescent="0.3">
      <c r="L25" s="105"/>
      <c r="M25" s="31" t="s">
        <v>700</v>
      </c>
      <c r="N25" s="31" t="s">
        <v>703</v>
      </c>
      <c r="O25" s="31" t="s">
        <v>706</v>
      </c>
      <c r="P25" s="31" t="s">
        <v>694</v>
      </c>
      <c r="Q25" s="29">
        <v>0</v>
      </c>
      <c r="R25" s="29">
        <f ca="1">ROUND(('TUSD BE'!$AM$42+'TUSD BF'!$AM$42+'TUSD CVA'!$AM$42)*(1-CUSTOS!$M$40),2)</f>
        <v>606.94000000000005</v>
      </c>
      <c r="S25" s="29">
        <f>ROUND(('TE BE'!$AB$32+'TE BF'!$AB$32+'TE CVA'!$AB$32)*(1-CUSTOS!$M$40),2)</f>
        <v>112.78</v>
      </c>
      <c r="T25" s="29">
        <v>0</v>
      </c>
      <c r="U25" s="29">
        <f ca="1">ROUND(('TUSD BE'!$AM$42)*(1-CUSTOS!$M$40),2)</f>
        <v>695.82</v>
      </c>
      <c r="V25" s="29">
        <f>ROUND(('TE BE'!$AB$32)*(1-CUSTOS!$M$40),2)</f>
        <v>114.88</v>
      </c>
    </row>
    <row r="26" spans="12:22" ht="11.25" customHeight="1" x14ac:dyDescent="0.3">
      <c r="L26" s="106"/>
      <c r="M26" s="31" t="s">
        <v>702</v>
      </c>
      <c r="N26" s="31" t="s">
        <v>703</v>
      </c>
      <c r="O26" s="31" t="s">
        <v>706</v>
      </c>
      <c r="P26" s="31" t="s">
        <v>694</v>
      </c>
      <c r="Q26" s="29">
        <v>0</v>
      </c>
      <c r="R26" s="29">
        <f ca="1">ROUND(('TUSD BE'!$AM$33+'TUSD BF'!$AM$33+'TUSD CVA'!$AM$33)*(1-CUSTOS!$M$40),2)</f>
        <v>606.94000000000005</v>
      </c>
      <c r="S26" s="29">
        <f>ROUND(('TE BE'!$AB$23+'TE BF'!$AB$23+'TE CVA'!$AB$23)*(1-CUSTOS!$M$40),2)</f>
        <v>112.78</v>
      </c>
      <c r="T26" s="29">
        <v>0</v>
      </c>
      <c r="U26" s="29">
        <f ca="1">ROUND(('TUSD BE'!$AM$33)*(1-CUSTOS!$M$40),2)</f>
        <v>695.82</v>
      </c>
      <c r="V26" s="29">
        <f>ROUND(('TE BE'!$AB$23)*(1-CUSTOS!$M$40),2)</f>
        <v>114.88</v>
      </c>
    </row>
    <row r="27" spans="12:22" ht="11.25" customHeight="1" x14ac:dyDescent="0.3">
      <c r="L27" s="104" t="s">
        <v>33</v>
      </c>
      <c r="M27" s="104" t="s">
        <v>697</v>
      </c>
      <c r="N27" s="104" t="s">
        <v>694</v>
      </c>
      <c r="O27" s="104" t="s">
        <v>694</v>
      </c>
      <c r="P27" s="31" t="s">
        <v>691</v>
      </c>
      <c r="Q27" s="29">
        <v>0</v>
      </c>
      <c r="R27" s="29">
        <f ca="1">ROUND(('TUSD BE'!$AM$45+'TUSD BF'!$AM$45+'TUSD CVA'!$AM$45)*(1-CUSTOS!$M$31),2)</f>
        <v>1937.76</v>
      </c>
      <c r="S27" s="29">
        <f>ROUND(('TE BE'!$AB$35+'TE BF'!$AB$35+'TE CVA'!$AB$35)*(1-CUSTOS!$M$31),2)</f>
        <v>122.59</v>
      </c>
      <c r="T27" s="29">
        <v>0</v>
      </c>
      <c r="U27" s="29">
        <f ca="1">ROUND('TUSD BE'!$AM$45*(1-CUSTOS!$M$31),2)</f>
        <v>2263.12</v>
      </c>
      <c r="V27" s="29">
        <f>ROUND('TE BE'!$AB$35*(1-CUSTOS!$M$31),2)</f>
        <v>124.87</v>
      </c>
    </row>
    <row r="28" spans="12:22" ht="11.25" customHeight="1" x14ac:dyDescent="0.3">
      <c r="L28" s="105"/>
      <c r="M28" s="105"/>
      <c r="N28" s="105"/>
      <c r="O28" s="105"/>
      <c r="P28" s="31" t="s">
        <v>699</v>
      </c>
      <c r="Q28" s="29">
        <v>0</v>
      </c>
      <c r="R28" s="29">
        <f ca="1">ROUND(('TUSD BE'!$AM$46+'TUSD BF'!$AM$46+'TUSD CVA'!$AM$46)*(1-CUSTOS!$M$31),2)</f>
        <v>1213.47</v>
      </c>
      <c r="S28" s="29">
        <f>ROUND(('TE BE'!$AB$36+'TE BF'!$AB$36+'TE CVA'!$AB$36)*(1-CUSTOS!$M$31),2)</f>
        <v>122.59</v>
      </c>
      <c r="T28" s="29">
        <v>0</v>
      </c>
      <c r="U28" s="29">
        <f ca="1">ROUND('TUSD BE'!$AM$46*(1-CUSTOS!$M$31),2)</f>
        <v>1409.2</v>
      </c>
      <c r="V28" s="29">
        <f>ROUND('TE BE'!$AB$36*(1-CUSTOS!$M$31),2)</f>
        <v>124.87</v>
      </c>
    </row>
    <row r="29" spans="12:22" ht="11.25" customHeight="1" x14ac:dyDescent="0.3">
      <c r="L29" s="105"/>
      <c r="M29" s="106"/>
      <c r="N29" s="106"/>
      <c r="O29" s="106"/>
      <c r="P29" s="31" t="s">
        <v>692</v>
      </c>
      <c r="Q29" s="29">
        <v>0</v>
      </c>
      <c r="R29" s="29">
        <f ca="1">ROUND(('TUSD BE'!$AM$47+'TUSD BF'!$AM$47+'TUSD CVA'!$AM$47)*(1-CUSTOS!$M$31),2)</f>
        <v>489.3</v>
      </c>
      <c r="S29" s="29">
        <f>ROUND(('TE BE'!$AB$37+'TE BF'!$AB$37+'TE CVA'!$AB$37)*(1-CUSTOS!$M$31),2)</f>
        <v>122.59</v>
      </c>
      <c r="T29" s="29">
        <v>0</v>
      </c>
      <c r="U29" s="29">
        <f ca="1">ROUND('TUSD BE'!$AM$47*(1-CUSTOS!$M$31),2)</f>
        <v>555.41</v>
      </c>
      <c r="V29" s="29">
        <f>ROUND('TE BE'!$AB$37*(1-CUSTOS!$M$31),2)</f>
        <v>124.87</v>
      </c>
    </row>
    <row r="30" spans="12:22" ht="11.25" customHeight="1" x14ac:dyDescent="0.3">
      <c r="L30" s="105"/>
      <c r="M30" s="31" t="s">
        <v>700</v>
      </c>
      <c r="N30" s="31" t="s">
        <v>694</v>
      </c>
      <c r="O30" s="31" t="s">
        <v>694</v>
      </c>
      <c r="P30" s="31" t="s">
        <v>694</v>
      </c>
      <c r="Q30" s="29">
        <v>0</v>
      </c>
      <c r="R30" s="29">
        <f ca="1">ROUND(('TUSD BE'!$AM$49+'TUSD BF'!$AM$49+'TUSD CVA'!$AM$49)*(1-CUSTOS!$M$31),2)</f>
        <v>659.72</v>
      </c>
      <c r="S30" s="29">
        <f>ROUND(('TE BE'!$AB$39+'TE BF'!$AB$39+'TE CVA'!$AB$39)*(1-CUSTOS!$M$31),2)</f>
        <v>122.59</v>
      </c>
      <c r="T30" s="29">
        <v>0</v>
      </c>
      <c r="U30" s="29">
        <f ca="1">ROUND(('TUSD BE'!$AM$49)*(1-CUSTOS!$M$31),2)</f>
        <v>756.33</v>
      </c>
      <c r="V30" s="29">
        <f>ROUND(('TE BE'!$AB$39)*(1-CUSTOS!$M$31),2)</f>
        <v>124.87</v>
      </c>
    </row>
    <row r="31" spans="12:22" ht="11.25" customHeight="1" x14ac:dyDescent="0.3">
      <c r="L31" s="106"/>
      <c r="M31" s="31" t="s">
        <v>702</v>
      </c>
      <c r="N31" s="31" t="s">
        <v>694</v>
      </c>
      <c r="O31" s="31" t="s">
        <v>694</v>
      </c>
      <c r="P31" s="31" t="s">
        <v>694</v>
      </c>
      <c r="Q31" s="29">
        <v>0</v>
      </c>
      <c r="R31" s="29">
        <f ca="1">ROUND(('TUSD BE'!$AM$48+'TUSD BF'!$AM$48+'TUSD CVA'!$AM$48)*(1-CUSTOS!$M$31),2)</f>
        <v>659.72</v>
      </c>
      <c r="S31" s="29">
        <f>ROUND(('TE BE'!$AB$38+'TE BF'!$AB$38+'TE CVA'!$AB$38)*(1-CUSTOS!$M$31),2)</f>
        <v>122.59</v>
      </c>
      <c r="T31" s="29">
        <v>0</v>
      </c>
      <c r="U31" s="29">
        <f ca="1">ROUND(('TUSD BE'!$AM$48)*(1-CUSTOS!$M$31),2)</f>
        <v>756.33</v>
      </c>
      <c r="V31" s="29">
        <f>ROUND(('TE BE'!$AB$38)*(1-CUSTOS!$M$31),2)</f>
        <v>124.87</v>
      </c>
    </row>
    <row r="32" spans="12:22" ht="11.25" customHeight="1" x14ac:dyDescent="0.3">
      <c r="L32" s="104" t="s">
        <v>45</v>
      </c>
      <c r="M32" s="104" t="s">
        <v>702</v>
      </c>
      <c r="N32" s="104" t="s">
        <v>707</v>
      </c>
      <c r="O32" s="31" t="s">
        <v>708</v>
      </c>
      <c r="P32" s="31" t="s">
        <v>694</v>
      </c>
      <c r="Q32" s="29">
        <v>0</v>
      </c>
      <c r="R32" s="29">
        <f ca="1">ROUND(('TUSD BE'!$AM$50+'TUSD BF'!$AM$50+'TUSD CVA'!$AM$50),2)</f>
        <v>362.84</v>
      </c>
      <c r="S32" s="29">
        <f>ROUND(('TE BE'!$AB$40+'TE BF'!$AB$40+'TE CVA'!$AB$40),2)</f>
        <v>67.42</v>
      </c>
      <c r="T32" s="29">
        <v>0</v>
      </c>
      <c r="U32" s="29">
        <f ca="1">ROUND(('TUSD BE'!$AM$50),2)</f>
        <v>415.98</v>
      </c>
      <c r="V32" s="29">
        <f>ROUND(('TE BE'!$AB$40),2)</f>
        <v>68.680000000000007</v>
      </c>
    </row>
    <row r="33" spans="12:22" ht="11.25" customHeight="1" x14ac:dyDescent="0.3">
      <c r="L33" s="106"/>
      <c r="M33" s="106"/>
      <c r="N33" s="106"/>
      <c r="O33" s="31" t="s">
        <v>709</v>
      </c>
      <c r="P33" s="31" t="s">
        <v>694</v>
      </c>
      <c r="Q33" s="29">
        <v>0</v>
      </c>
      <c r="R33" s="29">
        <f ca="1">ROUND(('TUSD BE'!$AM$51+'TUSD BF'!$AM$51+'TUSD CVA'!$AM$51),2)</f>
        <v>395.83</v>
      </c>
      <c r="S33" s="29">
        <f>ROUND(('TE BE'!$AB$41+'TE BF'!$AB$41+'TE CVA'!$AB$41),2)</f>
        <v>73.55</v>
      </c>
      <c r="T33" s="29">
        <v>0</v>
      </c>
      <c r="U33" s="29">
        <f ca="1">ROUND(('TUSD BE'!$AM$51),2)</f>
        <v>453.8</v>
      </c>
      <c r="V33" s="29">
        <f>ROUND(('TE BE'!$AB$41),2)</f>
        <v>74.92</v>
      </c>
    </row>
    <row r="34" spans="12:22" ht="11.25" customHeight="1" x14ac:dyDescent="0.3">
      <c r="L34" s="104" t="s">
        <v>78</v>
      </c>
      <c r="M34" s="104" t="s">
        <v>710</v>
      </c>
      <c r="N34" s="31" t="s">
        <v>79</v>
      </c>
      <c r="O34" s="31" t="s">
        <v>694</v>
      </c>
      <c r="P34" s="31" t="s">
        <v>694</v>
      </c>
      <c r="Q34" s="29">
        <f ca="1">ROUND(('TUSD BE'!$AM$15+'TUSD BF'!$AM$15+'TUSD CVA'!$AM$15),2)</f>
        <v>7.62</v>
      </c>
      <c r="R34" s="29">
        <v>0</v>
      </c>
      <c r="S34" s="29">
        <v>0</v>
      </c>
      <c r="T34" s="29">
        <f ca="1">ROUND(('TUSD BE'!$AM$15),2)</f>
        <v>9.26</v>
      </c>
      <c r="U34" s="29">
        <v>0</v>
      </c>
      <c r="V34" s="29">
        <v>0</v>
      </c>
    </row>
    <row r="35" spans="12:22" ht="11.25" customHeight="1" x14ac:dyDescent="0.3">
      <c r="L35" s="106"/>
      <c r="M35" s="106"/>
      <c r="N35" s="31" t="s">
        <v>80</v>
      </c>
      <c r="O35" s="31" t="s">
        <v>694</v>
      </c>
      <c r="P35" s="31" t="s">
        <v>694</v>
      </c>
      <c r="Q35" s="29">
        <f ca="1">ROUND(('TUSD BE'!$AM$16+'TUSD BF'!$AM$16+'TUSD CVA'!$AM$16),2)</f>
        <v>22.66</v>
      </c>
      <c r="R35" s="29">
        <v>0</v>
      </c>
      <c r="S35" s="29">
        <v>0</v>
      </c>
      <c r="T35" s="29">
        <f ca="1">ROUND(('TUSD BE'!$AM$16),2)</f>
        <v>27.56</v>
      </c>
      <c r="U35" s="29">
        <v>0</v>
      </c>
      <c r="V35" s="29">
        <v>0</v>
      </c>
    </row>
  </sheetData>
  <mergeCells count="51">
    <mergeCell ref="O5:O7"/>
    <mergeCell ref="O12:O14"/>
    <mergeCell ref="O17:O19"/>
    <mergeCell ref="O22:O24"/>
    <mergeCell ref="O27:O29"/>
    <mergeCell ref="N17:N19"/>
    <mergeCell ref="N22:N24"/>
    <mergeCell ref="N27:N29"/>
    <mergeCell ref="N32:N33"/>
    <mergeCell ref="M5:M7"/>
    <mergeCell ref="M12:M14"/>
    <mergeCell ref="M17:M19"/>
    <mergeCell ref="M22:M24"/>
    <mergeCell ref="M27:M29"/>
    <mergeCell ref="L27:L31"/>
    <mergeCell ref="L32:L33"/>
    <mergeCell ref="L34:L35"/>
    <mergeCell ref="M32:M33"/>
    <mergeCell ref="M34:M35"/>
    <mergeCell ref="B9:B11"/>
    <mergeCell ref="B12:B14"/>
    <mergeCell ref="L1:V1"/>
    <mergeCell ref="L2:L4"/>
    <mergeCell ref="M2:M4"/>
    <mergeCell ref="N2:N4"/>
    <mergeCell ref="O2:O4"/>
    <mergeCell ref="P2:P4"/>
    <mergeCell ref="Q2:S2"/>
    <mergeCell ref="Q3:R3"/>
    <mergeCell ref="T2:V2"/>
    <mergeCell ref="T3:U3"/>
    <mergeCell ref="L5:L11"/>
    <mergeCell ref="L12:L26"/>
    <mergeCell ref="N5:N7"/>
    <mergeCell ref="N12:N14"/>
    <mergeCell ref="C5:C6"/>
    <mergeCell ref="C7:C8"/>
    <mergeCell ref="C9:C11"/>
    <mergeCell ref="C12:C14"/>
    <mergeCell ref="A1:J1"/>
    <mergeCell ref="A2:A4"/>
    <mergeCell ref="B2:B4"/>
    <mergeCell ref="C2:C4"/>
    <mergeCell ref="D2:D4"/>
    <mergeCell ref="E2:G2"/>
    <mergeCell ref="E3:F3"/>
    <mergeCell ref="H2:J2"/>
    <mergeCell ref="H3:I3"/>
    <mergeCell ref="A5:A15"/>
    <mergeCell ref="B5:B6"/>
    <mergeCell ref="B7:B8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3D45-E3A6-4C06-B32F-0A77466BACD5}">
  <sheetPr codeName="Planilha20"/>
  <dimension ref="B1:U16"/>
  <sheetViews>
    <sheetView showGridLines="0" workbookViewId="0">
      <selection activeCell="U1" sqref="U1"/>
    </sheetView>
  </sheetViews>
  <sheetFormatPr defaultRowHeight="14.4" x14ac:dyDescent="0.3"/>
  <sheetData>
    <row r="1" spans="2:21" x14ac:dyDescent="0.3">
      <c r="B1" s="52" t="s">
        <v>656</v>
      </c>
      <c r="C1" s="52" t="s">
        <v>657</v>
      </c>
      <c r="D1" s="52" t="s">
        <v>658</v>
      </c>
      <c r="E1" s="52" t="s">
        <v>2</v>
      </c>
      <c r="F1" s="52" t="s">
        <v>659</v>
      </c>
      <c r="G1" s="52" t="s">
        <v>566</v>
      </c>
      <c r="H1" s="52" t="s">
        <v>3</v>
      </c>
      <c r="I1" s="52" t="s">
        <v>660</v>
      </c>
      <c r="J1" s="52" t="s">
        <v>5</v>
      </c>
      <c r="K1" s="52" t="s">
        <v>1</v>
      </c>
      <c r="L1" s="52" t="s">
        <v>661</v>
      </c>
      <c r="M1" s="52" t="s">
        <v>662</v>
      </c>
      <c r="N1" s="52" t="s">
        <v>663</v>
      </c>
      <c r="O1" s="52" t="s">
        <v>664</v>
      </c>
      <c r="P1" s="52" t="s">
        <v>665</v>
      </c>
      <c r="Q1" s="52" t="s">
        <v>666</v>
      </c>
      <c r="R1" s="52" t="s">
        <v>667</v>
      </c>
      <c r="S1" s="52" t="s">
        <v>668</v>
      </c>
      <c r="T1" s="52" t="s">
        <v>669</v>
      </c>
      <c r="U1" s="52" t="s">
        <v>670</v>
      </c>
    </row>
    <row r="2" spans="2:21" x14ac:dyDescent="0.3">
      <c r="B2" s="51" t="s">
        <v>641</v>
      </c>
      <c r="C2" s="51">
        <v>6060</v>
      </c>
      <c r="D2" s="51">
        <v>5369</v>
      </c>
      <c r="E2" s="51" t="s">
        <v>23</v>
      </c>
      <c r="F2" s="51">
        <v>1</v>
      </c>
      <c r="G2" s="51" t="s">
        <v>642</v>
      </c>
      <c r="H2" s="51" t="s">
        <v>43</v>
      </c>
      <c r="I2" s="51" t="s">
        <v>25</v>
      </c>
      <c r="J2" s="51" t="s">
        <v>43</v>
      </c>
      <c r="K2" s="51" t="s">
        <v>42</v>
      </c>
      <c r="L2" s="51">
        <v>0.3</v>
      </c>
      <c r="M2" s="51">
        <v>0.24</v>
      </c>
      <c r="N2" s="51">
        <v>0.18</v>
      </c>
      <c r="O2" s="51">
        <v>0.12</v>
      </c>
      <c r="P2" s="51">
        <v>0.06</v>
      </c>
      <c r="Q2" s="51">
        <v>0</v>
      </c>
      <c r="R2" s="51"/>
      <c r="S2" s="51"/>
      <c r="T2" s="51"/>
      <c r="U2" s="51">
        <v>3</v>
      </c>
    </row>
    <row r="3" spans="2:21" x14ac:dyDescent="0.3">
      <c r="B3" s="51" t="s">
        <v>643</v>
      </c>
      <c r="C3" s="51">
        <v>8232</v>
      </c>
      <c r="D3" s="51">
        <v>5369</v>
      </c>
      <c r="E3" s="51" t="s">
        <v>50</v>
      </c>
      <c r="F3" s="51">
        <v>1</v>
      </c>
      <c r="G3" s="51" t="s">
        <v>642</v>
      </c>
      <c r="H3" s="51" t="s">
        <v>43</v>
      </c>
      <c r="I3" s="51" t="s">
        <v>25</v>
      </c>
      <c r="J3" s="51" t="s">
        <v>590</v>
      </c>
      <c r="K3" s="51" t="s">
        <v>35</v>
      </c>
      <c r="L3" s="51">
        <v>0.1</v>
      </c>
      <c r="M3" s="51">
        <v>0.08</v>
      </c>
      <c r="N3" s="51">
        <v>0.06</v>
      </c>
      <c r="O3" s="51">
        <v>0.04</v>
      </c>
      <c r="P3" s="51">
        <v>0.02</v>
      </c>
      <c r="Q3" s="51">
        <v>0</v>
      </c>
      <c r="R3" s="51"/>
      <c r="S3" s="51"/>
      <c r="T3" s="51"/>
      <c r="U3" s="51">
        <v>3</v>
      </c>
    </row>
    <row r="4" spans="2:21" x14ac:dyDescent="0.3">
      <c r="B4" s="51" t="s">
        <v>644</v>
      </c>
      <c r="C4" s="51">
        <v>8233</v>
      </c>
      <c r="D4" s="51">
        <v>5369</v>
      </c>
      <c r="E4" s="51" t="s">
        <v>36</v>
      </c>
      <c r="F4" s="51">
        <v>1</v>
      </c>
      <c r="G4" s="51" t="s">
        <v>642</v>
      </c>
      <c r="H4" s="51" t="s">
        <v>43</v>
      </c>
      <c r="I4" s="51" t="s">
        <v>25</v>
      </c>
      <c r="J4" s="51" t="s">
        <v>590</v>
      </c>
      <c r="K4" s="51" t="s">
        <v>35</v>
      </c>
      <c r="L4" s="51">
        <v>0.1</v>
      </c>
      <c r="M4" s="51">
        <v>0.08</v>
      </c>
      <c r="N4" s="51">
        <v>0.06</v>
      </c>
      <c r="O4" s="51">
        <v>0.04</v>
      </c>
      <c r="P4" s="51">
        <v>0.02</v>
      </c>
      <c r="Q4" s="51">
        <v>0</v>
      </c>
      <c r="R4" s="51"/>
      <c r="S4" s="51"/>
      <c r="T4" s="51"/>
      <c r="U4" s="51">
        <v>3</v>
      </c>
    </row>
    <row r="5" spans="2:21" x14ac:dyDescent="0.3">
      <c r="B5" s="51" t="s">
        <v>645</v>
      </c>
      <c r="C5" s="51">
        <v>8234</v>
      </c>
      <c r="D5" s="51">
        <v>5369</v>
      </c>
      <c r="E5" s="51" t="s">
        <v>23</v>
      </c>
      <c r="F5" s="51">
        <v>1</v>
      </c>
      <c r="G5" s="51" t="s">
        <v>642</v>
      </c>
      <c r="H5" s="51" t="s">
        <v>43</v>
      </c>
      <c r="I5" s="51" t="s">
        <v>25</v>
      </c>
      <c r="J5" s="51" t="s">
        <v>590</v>
      </c>
      <c r="K5" s="51" t="s">
        <v>35</v>
      </c>
      <c r="L5" s="51">
        <v>0.1</v>
      </c>
      <c r="M5" s="51">
        <v>0.08</v>
      </c>
      <c r="N5" s="51">
        <v>0.06</v>
      </c>
      <c r="O5" s="51">
        <v>0.04</v>
      </c>
      <c r="P5" s="51">
        <v>0.02</v>
      </c>
      <c r="Q5" s="51">
        <v>0</v>
      </c>
      <c r="R5" s="51"/>
      <c r="S5" s="51"/>
      <c r="T5" s="51"/>
      <c r="U5" s="51">
        <v>3</v>
      </c>
    </row>
    <row r="6" spans="2:21" x14ac:dyDescent="0.3">
      <c r="B6" s="51" t="s">
        <v>646</v>
      </c>
      <c r="C6" s="51">
        <v>8235</v>
      </c>
      <c r="D6" s="51">
        <v>5369</v>
      </c>
      <c r="E6" s="51" t="s">
        <v>50</v>
      </c>
      <c r="F6" s="51">
        <v>1</v>
      </c>
      <c r="G6" s="51" t="s">
        <v>642</v>
      </c>
      <c r="H6" s="51" t="s">
        <v>48</v>
      </c>
      <c r="I6" s="51" t="s">
        <v>49</v>
      </c>
      <c r="J6" s="51" t="s">
        <v>591</v>
      </c>
      <c r="K6" s="51" t="s">
        <v>35</v>
      </c>
      <c r="L6" s="51">
        <v>0.15</v>
      </c>
      <c r="M6" s="51">
        <v>0.12</v>
      </c>
      <c r="N6" s="51">
        <v>0.09</v>
      </c>
      <c r="O6" s="51">
        <v>0.06</v>
      </c>
      <c r="P6" s="51">
        <v>0.03</v>
      </c>
      <c r="Q6" s="51">
        <v>0</v>
      </c>
      <c r="R6" s="51"/>
      <c r="S6" s="51"/>
      <c r="T6" s="51"/>
      <c r="U6" s="51">
        <v>3</v>
      </c>
    </row>
    <row r="7" spans="2:21" x14ac:dyDescent="0.3">
      <c r="B7" s="51" t="s">
        <v>647</v>
      </c>
      <c r="C7" s="51">
        <v>8236</v>
      </c>
      <c r="D7" s="51">
        <v>5369</v>
      </c>
      <c r="E7" s="51" t="s">
        <v>36</v>
      </c>
      <c r="F7" s="51">
        <v>1</v>
      </c>
      <c r="G7" s="51" t="s">
        <v>642</v>
      </c>
      <c r="H7" s="51" t="s">
        <v>48</v>
      </c>
      <c r="I7" s="51" t="s">
        <v>49</v>
      </c>
      <c r="J7" s="51" t="s">
        <v>591</v>
      </c>
      <c r="K7" s="51" t="s">
        <v>35</v>
      </c>
      <c r="L7" s="51">
        <v>0.15</v>
      </c>
      <c r="M7" s="51">
        <v>0.12</v>
      </c>
      <c r="N7" s="51">
        <v>0.09</v>
      </c>
      <c r="O7" s="51">
        <v>0.06</v>
      </c>
      <c r="P7" s="51">
        <v>0.03</v>
      </c>
      <c r="Q7" s="51">
        <v>0</v>
      </c>
      <c r="R7" s="51"/>
      <c r="S7" s="51"/>
      <c r="T7" s="51"/>
      <c r="U7" s="51">
        <v>3</v>
      </c>
    </row>
    <row r="8" spans="2:21" x14ac:dyDescent="0.3">
      <c r="B8" s="51" t="s">
        <v>648</v>
      </c>
      <c r="C8" s="51">
        <v>8237</v>
      </c>
      <c r="D8" s="51">
        <v>5369</v>
      </c>
      <c r="E8" s="51" t="s">
        <v>593</v>
      </c>
      <c r="F8" s="51">
        <v>1</v>
      </c>
      <c r="G8" s="51" t="s">
        <v>642</v>
      </c>
      <c r="H8" s="51" t="s">
        <v>48</v>
      </c>
      <c r="I8" s="51" t="s">
        <v>49</v>
      </c>
      <c r="J8" s="51" t="s">
        <v>591</v>
      </c>
      <c r="K8" s="51" t="s">
        <v>35</v>
      </c>
      <c r="L8" s="51">
        <v>0.15</v>
      </c>
      <c r="M8" s="51">
        <v>0.12</v>
      </c>
      <c r="N8" s="51">
        <v>0.09</v>
      </c>
      <c r="O8" s="51">
        <v>0.06</v>
      </c>
      <c r="P8" s="51">
        <v>0.03</v>
      </c>
      <c r="Q8" s="51">
        <v>0</v>
      </c>
      <c r="R8" s="51"/>
      <c r="S8" s="51"/>
      <c r="T8" s="51"/>
      <c r="U8" s="51">
        <v>3</v>
      </c>
    </row>
    <row r="9" spans="2:21" x14ac:dyDescent="0.3">
      <c r="B9" s="51" t="s">
        <v>641</v>
      </c>
      <c r="C9" s="51">
        <v>8238</v>
      </c>
      <c r="D9" s="51">
        <v>5369</v>
      </c>
      <c r="E9" s="51" t="s">
        <v>23</v>
      </c>
      <c r="F9" s="51">
        <v>1</v>
      </c>
      <c r="G9" s="51" t="s">
        <v>642</v>
      </c>
      <c r="H9" s="51" t="s">
        <v>43</v>
      </c>
      <c r="I9" s="51" t="s">
        <v>25</v>
      </c>
      <c r="J9" s="51" t="s">
        <v>43</v>
      </c>
      <c r="K9" s="51" t="s">
        <v>42</v>
      </c>
      <c r="L9" s="51">
        <v>0.3</v>
      </c>
      <c r="M9" s="51">
        <v>0.24</v>
      </c>
      <c r="N9" s="51">
        <v>0.18</v>
      </c>
      <c r="O9" s="51">
        <v>0.12</v>
      </c>
      <c r="P9" s="51">
        <v>0.06</v>
      </c>
      <c r="Q9" s="51">
        <v>0</v>
      </c>
      <c r="R9" s="51"/>
      <c r="S9" s="51"/>
      <c r="T9" s="51"/>
      <c r="U9" s="51">
        <v>3</v>
      </c>
    </row>
    <row r="10" spans="2:21" x14ac:dyDescent="0.3">
      <c r="B10" s="51" t="s">
        <v>649</v>
      </c>
      <c r="C10" s="51">
        <v>8239</v>
      </c>
      <c r="D10" s="51">
        <v>5369</v>
      </c>
      <c r="E10" s="51" t="s">
        <v>39</v>
      </c>
      <c r="F10" s="51">
        <v>1</v>
      </c>
      <c r="G10" s="51" t="s">
        <v>642</v>
      </c>
      <c r="H10" s="51" t="s">
        <v>43</v>
      </c>
      <c r="I10" s="51" t="s">
        <v>25</v>
      </c>
      <c r="J10" s="51" t="s">
        <v>43</v>
      </c>
      <c r="K10" s="51" t="s">
        <v>42</v>
      </c>
      <c r="L10" s="51">
        <v>0.3</v>
      </c>
      <c r="M10" s="51">
        <v>0.24</v>
      </c>
      <c r="N10" s="51">
        <v>0.18</v>
      </c>
      <c r="O10" s="51">
        <v>0.12</v>
      </c>
      <c r="P10" s="51">
        <v>0.06</v>
      </c>
      <c r="Q10" s="51">
        <v>0</v>
      </c>
      <c r="R10" s="51"/>
      <c r="S10" s="51"/>
      <c r="T10" s="51"/>
      <c r="U10" s="51">
        <v>3</v>
      </c>
    </row>
    <row r="11" spans="2:21" x14ac:dyDescent="0.3">
      <c r="B11" s="51" t="s">
        <v>650</v>
      </c>
      <c r="C11" s="51">
        <v>8240</v>
      </c>
      <c r="D11" s="51">
        <v>5369</v>
      </c>
      <c r="E11" s="51" t="s">
        <v>23</v>
      </c>
      <c r="F11" s="51">
        <v>1</v>
      </c>
      <c r="G11" s="51" t="s">
        <v>642</v>
      </c>
      <c r="H11" s="51" t="s">
        <v>43</v>
      </c>
      <c r="I11" s="51" t="s">
        <v>85</v>
      </c>
      <c r="J11" s="51" t="s">
        <v>591</v>
      </c>
      <c r="K11" s="51" t="s">
        <v>42</v>
      </c>
      <c r="L11" s="51">
        <v>0.3</v>
      </c>
      <c r="M11" s="51">
        <v>0.24</v>
      </c>
      <c r="N11" s="51">
        <v>0.18</v>
      </c>
      <c r="O11" s="51">
        <v>0.12</v>
      </c>
      <c r="P11" s="51">
        <v>0.06</v>
      </c>
      <c r="Q11" s="51">
        <v>0</v>
      </c>
      <c r="R11" s="51"/>
      <c r="S11" s="51"/>
      <c r="T11" s="51"/>
      <c r="U11" s="51">
        <v>3</v>
      </c>
    </row>
    <row r="12" spans="2:21" x14ac:dyDescent="0.3">
      <c r="B12" s="51" t="s">
        <v>651</v>
      </c>
      <c r="C12" s="51">
        <v>8241</v>
      </c>
      <c r="D12" s="51">
        <v>5369</v>
      </c>
      <c r="E12" s="51" t="s">
        <v>592</v>
      </c>
      <c r="F12" s="51">
        <v>1</v>
      </c>
      <c r="G12" s="51" t="s">
        <v>642</v>
      </c>
      <c r="H12" s="51" t="s">
        <v>43</v>
      </c>
      <c r="I12" s="51" t="s">
        <v>85</v>
      </c>
      <c r="J12" s="51" t="s">
        <v>591</v>
      </c>
      <c r="K12" s="51" t="s">
        <v>42</v>
      </c>
      <c r="L12" s="51">
        <v>0.3</v>
      </c>
      <c r="M12" s="51">
        <v>0.24</v>
      </c>
      <c r="N12" s="51">
        <v>0.18</v>
      </c>
      <c r="O12" s="51">
        <v>0.12</v>
      </c>
      <c r="P12" s="51">
        <v>0.06</v>
      </c>
      <c r="Q12" s="51">
        <v>0</v>
      </c>
      <c r="R12" s="51"/>
      <c r="S12" s="51"/>
      <c r="T12" s="51"/>
      <c r="U12" s="51">
        <v>3</v>
      </c>
    </row>
    <row r="13" spans="2:21" x14ac:dyDescent="0.3">
      <c r="B13" s="51" t="s">
        <v>652</v>
      </c>
      <c r="C13" s="51">
        <v>8242</v>
      </c>
      <c r="D13" s="51">
        <v>5369</v>
      </c>
      <c r="E13" s="51" t="s">
        <v>23</v>
      </c>
      <c r="F13" s="51">
        <v>1</v>
      </c>
      <c r="G13" s="51" t="s">
        <v>642</v>
      </c>
      <c r="H13" s="51" t="s">
        <v>43</v>
      </c>
      <c r="I13" s="51" t="s">
        <v>86</v>
      </c>
      <c r="J13" s="51" t="s">
        <v>591</v>
      </c>
      <c r="K13" s="51" t="s">
        <v>42</v>
      </c>
      <c r="L13" s="51">
        <v>0.4</v>
      </c>
      <c r="M13" s="51">
        <v>0.32</v>
      </c>
      <c r="N13" s="51">
        <v>0.24</v>
      </c>
      <c r="O13" s="51">
        <v>0.16</v>
      </c>
      <c r="P13" s="51">
        <v>0.08</v>
      </c>
      <c r="Q13" s="51">
        <v>0</v>
      </c>
      <c r="R13" s="51"/>
      <c r="S13" s="51"/>
      <c r="T13" s="51"/>
      <c r="U13" s="51">
        <v>3</v>
      </c>
    </row>
    <row r="14" spans="2:21" x14ac:dyDescent="0.3">
      <c r="B14" s="51" t="s">
        <v>653</v>
      </c>
      <c r="C14" s="51">
        <v>8243</v>
      </c>
      <c r="D14" s="51">
        <v>5369</v>
      </c>
      <c r="E14" s="51" t="s">
        <v>592</v>
      </c>
      <c r="F14" s="51">
        <v>1</v>
      </c>
      <c r="G14" s="51" t="s">
        <v>642</v>
      </c>
      <c r="H14" s="51" t="s">
        <v>43</v>
      </c>
      <c r="I14" s="51" t="s">
        <v>86</v>
      </c>
      <c r="J14" s="51" t="s">
        <v>591</v>
      </c>
      <c r="K14" s="51" t="s">
        <v>42</v>
      </c>
      <c r="L14" s="51">
        <v>0.4</v>
      </c>
      <c r="M14" s="51">
        <v>0.32</v>
      </c>
      <c r="N14" s="51">
        <v>0.24</v>
      </c>
      <c r="O14" s="51">
        <v>0.16</v>
      </c>
      <c r="P14" s="51">
        <v>0.08</v>
      </c>
      <c r="Q14" s="51">
        <v>0</v>
      </c>
      <c r="R14" s="51"/>
      <c r="S14" s="51"/>
      <c r="T14" s="51"/>
      <c r="U14" s="51">
        <v>3</v>
      </c>
    </row>
    <row r="15" spans="2:21" x14ac:dyDescent="0.3">
      <c r="B15" s="51" t="s">
        <v>654</v>
      </c>
      <c r="C15" s="51">
        <v>8244</v>
      </c>
      <c r="D15" s="51">
        <v>5369</v>
      </c>
      <c r="E15" s="51" t="s">
        <v>23</v>
      </c>
      <c r="F15" s="51">
        <v>1</v>
      </c>
      <c r="G15" s="51" t="s">
        <v>642</v>
      </c>
      <c r="H15" s="51" t="s">
        <v>48</v>
      </c>
      <c r="I15" s="51" t="s">
        <v>49</v>
      </c>
      <c r="J15" s="51" t="s">
        <v>591</v>
      </c>
      <c r="K15" s="51" t="s">
        <v>33</v>
      </c>
      <c r="L15" s="51">
        <v>0.15</v>
      </c>
      <c r="M15" s="51">
        <v>0.12</v>
      </c>
      <c r="N15" s="51">
        <v>0.09</v>
      </c>
      <c r="O15" s="51">
        <v>0.06</v>
      </c>
      <c r="P15" s="51">
        <v>0.03</v>
      </c>
      <c r="Q15" s="51">
        <v>0</v>
      </c>
      <c r="R15" s="51"/>
      <c r="S15" s="51"/>
      <c r="T15" s="51"/>
      <c r="U15" s="51">
        <v>3</v>
      </c>
    </row>
    <row r="16" spans="2:21" x14ac:dyDescent="0.3">
      <c r="B16" s="51" t="s">
        <v>655</v>
      </c>
      <c r="C16" s="51">
        <v>8245</v>
      </c>
      <c r="D16" s="51">
        <v>5369</v>
      </c>
      <c r="E16" s="51" t="s">
        <v>39</v>
      </c>
      <c r="F16" s="51">
        <v>1</v>
      </c>
      <c r="G16" s="51" t="s">
        <v>642</v>
      </c>
      <c r="H16" s="51" t="s">
        <v>48</v>
      </c>
      <c r="I16" s="51" t="s">
        <v>49</v>
      </c>
      <c r="J16" s="51" t="s">
        <v>591</v>
      </c>
      <c r="K16" s="51" t="s">
        <v>33</v>
      </c>
      <c r="L16" s="51">
        <v>0.15</v>
      </c>
      <c r="M16" s="51">
        <v>0.12</v>
      </c>
      <c r="N16" s="51">
        <v>0.09</v>
      </c>
      <c r="O16" s="51">
        <v>0.06</v>
      </c>
      <c r="P16" s="51">
        <v>0.03</v>
      </c>
      <c r="Q16" s="51">
        <v>0</v>
      </c>
      <c r="R16" s="51"/>
      <c r="S16" s="51"/>
      <c r="T16" s="51"/>
      <c r="U16" s="51">
        <v>3</v>
      </c>
    </row>
  </sheetData>
  <pageMargins left="0.511811024" right="0.511811024" top="0.78740157499999996" bottom="0.78740157499999996" header="0.31496062000000002" footer="0.3149606200000000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5EE6-5A9F-4F4F-A914-5D12906DF99B}">
  <dimension ref="A1:L18"/>
  <sheetViews>
    <sheetView showGridLines="0" workbookViewId="0">
      <selection activeCell="F8" sqref="F8"/>
    </sheetView>
  </sheetViews>
  <sheetFormatPr defaultColWidth="9.109375" defaultRowHeight="10.199999999999999" x14ac:dyDescent="0.2"/>
  <cols>
    <col min="1" max="1" width="31.44140625" style="14" bestFit="1" customWidth="1"/>
    <col min="2" max="2" width="18.44140625" style="14" customWidth="1"/>
    <col min="3" max="12" width="11" style="14" customWidth="1"/>
    <col min="13" max="16384" width="9.109375" style="14"/>
  </cols>
  <sheetData>
    <row r="1" spans="1:12" ht="10.8" thickBot="1" x14ac:dyDescent="0.25">
      <c r="A1" s="70" t="s">
        <v>685</v>
      </c>
      <c r="B1" s="70" t="s">
        <v>22</v>
      </c>
      <c r="C1" s="70" t="s">
        <v>684</v>
      </c>
      <c r="D1" s="70" t="s">
        <v>683</v>
      </c>
      <c r="E1" s="70" t="s">
        <v>33</v>
      </c>
      <c r="F1" s="70" t="s">
        <v>682</v>
      </c>
      <c r="G1" s="70" t="s">
        <v>681</v>
      </c>
      <c r="H1" s="70" t="s">
        <v>559</v>
      </c>
      <c r="I1" s="70" t="s">
        <v>35</v>
      </c>
      <c r="J1" s="70" t="s">
        <v>558</v>
      </c>
      <c r="K1" s="70" t="s">
        <v>557</v>
      </c>
      <c r="L1" s="70" t="s">
        <v>556</v>
      </c>
    </row>
    <row r="2" spans="1:12" x14ac:dyDescent="0.2">
      <c r="A2" s="66" t="s">
        <v>680</v>
      </c>
      <c r="B2" s="72">
        <f t="shared" ref="B2:L2" si="0">12*B3*(1-$B$10/IF($B$8&lt;&gt;0,$B$8,1))/IF(((((1+$B$6)^(1/IF($B$9&lt;&gt;0,$B$9,1))*$B$6)/(IF((1+$B$6)^(1/IF($B$9&lt;&gt;0,$B$9,1))-1&lt;&gt;0,(1+$B$6)^(1/IF($B$9&lt;&gt;0,$B$9,1))-1,1))))&lt;&gt;0,(((1+$B$6)^(1/IF($B$9&lt;&gt;0,$B$9,1))*$B$6)/(IF((1+$B$6)^(1/IF($B$9&lt;&gt;0,$B$9,1))-1&lt;&gt;0,(1+$B$6)^(1/IF($B$9&lt;&gt;0,$B$9,1))-1,1))),1)</f>
        <v>439.78399094102508</v>
      </c>
      <c r="C2" s="72">
        <f t="shared" si="0"/>
        <v>413.46443751897903</v>
      </c>
      <c r="D2" s="72">
        <f t="shared" si="0"/>
        <v>404.69125304496373</v>
      </c>
      <c r="E2" s="72">
        <f t="shared" si="0"/>
        <v>439.78399094102508</v>
      </c>
      <c r="F2" s="72">
        <f t="shared" si="0"/>
        <v>241.82495665555086</v>
      </c>
      <c r="G2" s="72">
        <f t="shared" si="0"/>
        <v>263.87039456461503</v>
      </c>
      <c r="H2" s="72">
        <f t="shared" si="0"/>
        <v>0</v>
      </c>
      <c r="I2" s="72">
        <f t="shared" si="0"/>
        <v>649.54858973217506</v>
      </c>
      <c r="J2" s="72">
        <f t="shared" si="0"/>
        <v>0</v>
      </c>
      <c r="K2" s="72">
        <f t="shared" si="0"/>
        <v>0</v>
      </c>
      <c r="L2" s="72">
        <f t="shared" si="0"/>
        <v>0</v>
      </c>
    </row>
    <row r="3" spans="1:12" ht="10.8" thickBot="1" x14ac:dyDescent="0.25">
      <c r="A3" s="64" t="s">
        <v>679</v>
      </c>
      <c r="B3" s="71">
        <v>19.55</v>
      </c>
      <c r="C3" s="71">
        <v>18.38</v>
      </c>
      <c r="D3" s="71">
        <v>17.989999999999998</v>
      </c>
      <c r="E3" s="71">
        <v>19.55</v>
      </c>
      <c r="F3" s="71">
        <v>10.75</v>
      </c>
      <c r="G3" s="71">
        <v>11.73</v>
      </c>
      <c r="H3" s="71">
        <v>0</v>
      </c>
      <c r="I3" s="71">
        <f>'TUSD BE'!$AC$6</f>
        <v>28.874800335710518</v>
      </c>
      <c r="J3" s="71">
        <v>0</v>
      </c>
      <c r="K3" s="71">
        <v>0</v>
      </c>
      <c r="L3" s="71">
        <v>0</v>
      </c>
    </row>
    <row r="5" spans="1:12" ht="10.8" thickBot="1" x14ac:dyDescent="0.25">
      <c r="A5" s="70" t="s">
        <v>678</v>
      </c>
      <c r="B5" s="70" t="s">
        <v>677</v>
      </c>
    </row>
    <row r="6" spans="1:12" x14ac:dyDescent="0.2">
      <c r="A6" s="66" t="s">
        <v>676</v>
      </c>
      <c r="B6" s="69">
        <v>9.9699999999999997E-2</v>
      </c>
    </row>
    <row r="7" spans="1:12" x14ac:dyDescent="0.2">
      <c r="A7" s="68" t="s">
        <v>675</v>
      </c>
      <c r="B7" s="67">
        <v>0</v>
      </c>
    </row>
    <row r="8" spans="1:12" x14ac:dyDescent="0.2">
      <c r="A8" s="66" t="s">
        <v>674</v>
      </c>
      <c r="B8" s="65">
        <v>13030918.27</v>
      </c>
    </row>
    <row r="9" spans="1:12" x14ac:dyDescent="0.2">
      <c r="A9" s="68" t="s">
        <v>673</v>
      </c>
      <c r="B9" s="67">
        <v>0.04</v>
      </c>
    </row>
    <row r="10" spans="1:12" x14ac:dyDescent="0.2">
      <c r="A10" s="66" t="s">
        <v>672</v>
      </c>
      <c r="B10" s="65">
        <v>10345947.27</v>
      </c>
    </row>
    <row r="11" spans="1:12" ht="10.8" thickBot="1" x14ac:dyDescent="0.25">
      <c r="A11" s="64" t="s">
        <v>671</v>
      </c>
      <c r="B11" s="63">
        <f>(1+$B$6)^(1/IF($B$9&lt;&gt;0,$B$9,1))*$B$6/IF((1+$B$6)^(1/IF($B$9&lt;&gt;0,$B$9,1))-1&lt;&gt;0,(1+$B$6)^(1/IF($B$9&lt;&gt;0,$B$9,1))-1,1)</f>
        <v>0.10991403975195672</v>
      </c>
    </row>
    <row r="18" spans="2:2" x14ac:dyDescent="0.2">
      <c r="B18" s="6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40AC-CDB1-4F74-9288-AF6BFDA468EE}">
  <dimension ref="B1:AT49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2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16" t="s">
        <v>750</v>
      </c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</row>
    <row r="2" spans="2:46" ht="12" customHeight="1" x14ac:dyDescent="0.3">
      <c r="L2" s="117" t="s">
        <v>424</v>
      </c>
      <c r="M2" s="117"/>
      <c r="N2" s="117"/>
      <c r="O2" s="117"/>
      <c r="P2" s="117"/>
      <c r="Q2" s="117"/>
      <c r="R2" s="117"/>
      <c r="S2" s="118"/>
      <c r="T2" s="117" t="s">
        <v>433</v>
      </c>
      <c r="U2" s="117"/>
      <c r="V2" s="117"/>
      <c r="W2" s="117"/>
      <c r="X2" s="117"/>
      <c r="Y2" s="117"/>
      <c r="Z2" s="118"/>
      <c r="AA2" s="119" t="s">
        <v>441</v>
      </c>
      <c r="AB2" s="117" t="s">
        <v>25</v>
      </c>
      <c r="AC2" s="117"/>
      <c r="AD2" s="118"/>
      <c r="AE2" s="117" t="s">
        <v>749</v>
      </c>
      <c r="AF2" s="117"/>
      <c r="AG2" s="117"/>
      <c r="AH2" s="118"/>
      <c r="AI2" s="117" t="s">
        <v>424</v>
      </c>
      <c r="AJ2" s="117"/>
      <c r="AK2" s="117"/>
      <c r="AL2" s="117"/>
      <c r="AM2" s="118"/>
      <c r="AN2" s="119" t="s">
        <v>455</v>
      </c>
      <c r="AO2" s="117" t="s">
        <v>433</v>
      </c>
      <c r="AP2" s="117"/>
      <c r="AQ2" s="117"/>
      <c r="AR2" s="117"/>
      <c r="AS2" s="118"/>
      <c r="AT2" s="120" t="s">
        <v>749</v>
      </c>
    </row>
    <row r="3" spans="2:46" ht="12" customHeight="1" x14ac:dyDescent="0.3">
      <c r="B3" s="107" t="s">
        <v>59</v>
      </c>
      <c r="C3" s="108" t="s">
        <v>60</v>
      </c>
      <c r="D3" s="108" t="s">
        <v>61</v>
      </c>
      <c r="E3" s="108" t="s">
        <v>62</v>
      </c>
      <c r="F3" s="108" t="s">
        <v>63</v>
      </c>
      <c r="G3" s="108" t="s">
        <v>65</v>
      </c>
      <c r="H3" s="108" t="s">
        <v>66</v>
      </c>
      <c r="I3" s="108" t="s">
        <v>687</v>
      </c>
      <c r="J3" s="108" t="s">
        <v>711</v>
      </c>
      <c r="K3" s="108" t="s">
        <v>712</v>
      </c>
      <c r="L3" s="108" t="s">
        <v>713</v>
      </c>
      <c r="M3" s="108" t="s">
        <v>714</v>
      </c>
      <c r="N3" s="108" t="s">
        <v>715</v>
      </c>
      <c r="O3" s="108" t="s">
        <v>716</v>
      </c>
      <c r="P3" s="108" t="s">
        <v>717</v>
      </c>
      <c r="Q3" s="108" t="s">
        <v>718</v>
      </c>
      <c r="R3" s="108" t="s">
        <v>719</v>
      </c>
      <c r="S3" s="108" t="s">
        <v>720</v>
      </c>
      <c r="T3" s="108" t="s">
        <v>721</v>
      </c>
      <c r="U3" s="108" t="s">
        <v>722</v>
      </c>
      <c r="V3" s="108" t="s">
        <v>723</v>
      </c>
      <c r="W3" s="108" t="s">
        <v>724</v>
      </c>
      <c r="X3" s="108" t="s">
        <v>725</v>
      </c>
      <c r="Y3" s="108" t="s">
        <v>726</v>
      </c>
      <c r="Z3" s="108" t="s">
        <v>727</v>
      </c>
      <c r="AA3" s="108" t="s">
        <v>728</v>
      </c>
      <c r="AB3" s="108" t="s">
        <v>729</v>
      </c>
      <c r="AC3" s="108" t="s">
        <v>730</v>
      </c>
      <c r="AD3" s="108" t="s">
        <v>731</v>
      </c>
      <c r="AE3" s="108" t="s">
        <v>732</v>
      </c>
      <c r="AF3" s="108" t="s">
        <v>733</v>
      </c>
      <c r="AG3" s="108" t="s">
        <v>734</v>
      </c>
      <c r="AH3" s="108" t="s">
        <v>735</v>
      </c>
      <c r="AI3" s="108" t="s">
        <v>736</v>
      </c>
      <c r="AJ3" s="108" t="s">
        <v>737</v>
      </c>
      <c r="AK3" s="108" t="s">
        <v>738</v>
      </c>
      <c r="AL3" s="108" t="s">
        <v>739</v>
      </c>
      <c r="AM3" s="108" t="s">
        <v>740</v>
      </c>
      <c r="AN3" s="108" t="s">
        <v>741</v>
      </c>
      <c r="AO3" s="108" t="s">
        <v>742</v>
      </c>
      <c r="AP3" s="108" t="s">
        <v>743</v>
      </c>
      <c r="AQ3" s="108" t="s">
        <v>744</v>
      </c>
      <c r="AR3" s="108" t="s">
        <v>745</v>
      </c>
      <c r="AS3" s="108" t="s">
        <v>746</v>
      </c>
      <c r="AT3" s="109" t="s">
        <v>747</v>
      </c>
    </row>
    <row r="4" spans="2:46" ht="12" customHeight="1" x14ac:dyDescent="0.3">
      <c r="B4" s="110" t="s">
        <v>35</v>
      </c>
      <c r="C4" s="111" t="s">
        <v>50</v>
      </c>
      <c r="D4" s="111" t="s">
        <v>25</v>
      </c>
      <c r="E4" s="111" t="s">
        <v>25</v>
      </c>
      <c r="F4" s="111" t="s">
        <v>76</v>
      </c>
      <c r="G4" s="111" t="s">
        <v>37</v>
      </c>
      <c r="H4" s="111" t="s">
        <v>69</v>
      </c>
      <c r="I4" s="111" t="s">
        <v>25</v>
      </c>
      <c r="J4" s="111">
        <v>11.61</v>
      </c>
      <c r="K4" s="111">
        <v>0</v>
      </c>
      <c r="L4" s="111">
        <v>0</v>
      </c>
      <c r="M4" s="111">
        <v>0.96092360362538398</v>
      </c>
      <c r="N4" s="111">
        <v>0</v>
      </c>
      <c r="O4" s="111">
        <v>0</v>
      </c>
      <c r="P4" s="111">
        <v>0</v>
      </c>
      <c r="Q4" s="111">
        <v>0</v>
      </c>
      <c r="R4" s="111">
        <v>0</v>
      </c>
      <c r="S4" s="111">
        <v>0</v>
      </c>
      <c r="T4" s="111">
        <v>0</v>
      </c>
      <c r="U4" s="111">
        <v>0</v>
      </c>
      <c r="V4" s="111">
        <v>0</v>
      </c>
      <c r="W4" s="111">
        <v>0</v>
      </c>
      <c r="X4" s="111">
        <v>0</v>
      </c>
      <c r="Y4" s="111">
        <v>0</v>
      </c>
      <c r="Z4" s="111">
        <v>0</v>
      </c>
      <c r="AA4" s="111">
        <v>0</v>
      </c>
      <c r="AB4" s="111">
        <v>0</v>
      </c>
      <c r="AC4" s="111">
        <v>0</v>
      </c>
      <c r="AD4" s="111">
        <v>0</v>
      </c>
      <c r="AE4" s="111">
        <v>10.6483958611009</v>
      </c>
      <c r="AF4" s="111">
        <v>0</v>
      </c>
      <c r="AG4" s="111">
        <v>0</v>
      </c>
      <c r="AH4" s="111">
        <v>0</v>
      </c>
      <c r="AI4" s="111">
        <v>0</v>
      </c>
      <c r="AJ4" s="111">
        <v>0</v>
      </c>
      <c r="AK4" s="111">
        <v>0</v>
      </c>
      <c r="AL4" s="111">
        <v>0</v>
      </c>
      <c r="AM4" s="111">
        <v>0</v>
      </c>
      <c r="AN4" s="111">
        <v>0</v>
      </c>
      <c r="AO4" s="111">
        <v>0</v>
      </c>
      <c r="AP4" s="111">
        <v>0</v>
      </c>
      <c r="AQ4" s="111">
        <v>0</v>
      </c>
      <c r="AR4" s="111">
        <v>0</v>
      </c>
      <c r="AS4" s="111">
        <v>0</v>
      </c>
      <c r="AT4" s="112">
        <v>0</v>
      </c>
    </row>
    <row r="5" spans="2:46" ht="12" customHeight="1" x14ac:dyDescent="0.3">
      <c r="B5" s="110" t="s">
        <v>35</v>
      </c>
      <c r="C5" s="111" t="s">
        <v>50</v>
      </c>
      <c r="D5" s="111" t="s">
        <v>25</v>
      </c>
      <c r="E5" s="111" t="s">
        <v>25</v>
      </c>
      <c r="F5" s="111" t="s">
        <v>76</v>
      </c>
      <c r="G5" s="111" t="s">
        <v>37</v>
      </c>
      <c r="H5" s="111" t="s">
        <v>72</v>
      </c>
      <c r="I5" s="111" t="s">
        <v>25</v>
      </c>
      <c r="J5" s="111">
        <v>117.45</v>
      </c>
      <c r="K5" s="111">
        <v>0</v>
      </c>
      <c r="L5" s="111">
        <v>0</v>
      </c>
      <c r="M5" s="111">
        <v>0</v>
      </c>
      <c r="N5" s="111">
        <v>0</v>
      </c>
      <c r="O5" s="111">
        <v>0</v>
      </c>
      <c r="P5" s="111">
        <v>0</v>
      </c>
      <c r="Q5" s="111">
        <v>0</v>
      </c>
      <c r="R5" s="111">
        <v>0</v>
      </c>
      <c r="S5" s="111">
        <v>0</v>
      </c>
      <c r="T5" s="111">
        <v>0</v>
      </c>
      <c r="U5" s="111">
        <v>0</v>
      </c>
      <c r="V5" s="111">
        <v>0</v>
      </c>
      <c r="W5" s="111">
        <v>0</v>
      </c>
      <c r="X5" s="111">
        <v>30.692964455736799</v>
      </c>
      <c r="Y5" s="111">
        <v>0</v>
      </c>
      <c r="Z5" s="111">
        <v>0</v>
      </c>
      <c r="AA5" s="111">
        <v>86.752423506409102</v>
      </c>
      <c r="AB5" s="111">
        <v>0</v>
      </c>
      <c r="AC5" s="111">
        <v>0</v>
      </c>
      <c r="AD5" s="111">
        <v>0</v>
      </c>
      <c r="AE5" s="111">
        <v>0</v>
      </c>
      <c r="AF5" s="111">
        <v>0</v>
      </c>
      <c r="AG5" s="111">
        <v>0</v>
      </c>
      <c r="AH5" s="111">
        <v>0</v>
      </c>
      <c r="AI5" s="111">
        <v>0</v>
      </c>
      <c r="AJ5" s="111">
        <v>0</v>
      </c>
      <c r="AK5" s="111">
        <v>0</v>
      </c>
      <c r="AL5" s="111">
        <v>0</v>
      </c>
      <c r="AM5" s="111">
        <v>0</v>
      </c>
      <c r="AN5" s="111">
        <v>0</v>
      </c>
      <c r="AO5" s="111">
        <v>0</v>
      </c>
      <c r="AP5" s="111">
        <v>0</v>
      </c>
      <c r="AQ5" s="111">
        <v>0</v>
      </c>
      <c r="AR5" s="111">
        <v>0</v>
      </c>
      <c r="AS5" s="111">
        <v>0</v>
      </c>
      <c r="AT5" s="112">
        <v>0</v>
      </c>
    </row>
    <row r="6" spans="2:46" ht="12" customHeight="1" x14ac:dyDescent="0.3">
      <c r="B6" s="110" t="s">
        <v>35</v>
      </c>
      <c r="C6" s="111" t="s">
        <v>50</v>
      </c>
      <c r="D6" s="111" t="s">
        <v>25</v>
      </c>
      <c r="E6" s="111" t="s">
        <v>25</v>
      </c>
      <c r="F6" s="111" t="s">
        <v>76</v>
      </c>
      <c r="G6" s="111" t="s">
        <v>38</v>
      </c>
      <c r="H6" s="111" t="s">
        <v>69</v>
      </c>
      <c r="I6" s="111" t="s">
        <v>25</v>
      </c>
      <c r="J6" s="111">
        <v>11.61</v>
      </c>
      <c r="K6" s="111">
        <v>0</v>
      </c>
      <c r="L6" s="111">
        <v>0</v>
      </c>
      <c r="M6" s="111">
        <v>0.96092360362538398</v>
      </c>
      <c r="N6" s="111">
        <v>0</v>
      </c>
      <c r="O6" s="111">
        <v>0</v>
      </c>
      <c r="P6" s="111">
        <v>0</v>
      </c>
      <c r="Q6" s="111">
        <v>0</v>
      </c>
      <c r="R6" s="111">
        <v>0</v>
      </c>
      <c r="S6" s="111">
        <v>0</v>
      </c>
      <c r="T6" s="111">
        <v>0</v>
      </c>
      <c r="U6" s="111">
        <v>0</v>
      </c>
      <c r="V6" s="111">
        <v>0</v>
      </c>
      <c r="W6" s="111">
        <v>0</v>
      </c>
      <c r="X6" s="111">
        <v>0</v>
      </c>
      <c r="Y6" s="111">
        <v>0</v>
      </c>
      <c r="Z6" s="111">
        <v>0</v>
      </c>
      <c r="AA6" s="111">
        <v>0</v>
      </c>
      <c r="AB6" s="111">
        <v>0</v>
      </c>
      <c r="AC6" s="111">
        <v>0</v>
      </c>
      <c r="AD6" s="111">
        <v>0</v>
      </c>
      <c r="AE6" s="111">
        <v>10.6483958611009</v>
      </c>
      <c r="AF6" s="111">
        <v>0</v>
      </c>
      <c r="AG6" s="111">
        <v>0</v>
      </c>
      <c r="AH6" s="111">
        <v>0</v>
      </c>
      <c r="AI6" s="111">
        <v>0</v>
      </c>
      <c r="AJ6" s="111">
        <v>0</v>
      </c>
      <c r="AK6" s="111">
        <v>0</v>
      </c>
      <c r="AL6" s="111">
        <v>0</v>
      </c>
      <c r="AM6" s="111">
        <v>0</v>
      </c>
      <c r="AN6" s="111">
        <v>0</v>
      </c>
      <c r="AO6" s="111">
        <v>0</v>
      </c>
      <c r="AP6" s="111">
        <v>0</v>
      </c>
      <c r="AQ6" s="111">
        <v>0</v>
      </c>
      <c r="AR6" s="111">
        <v>0</v>
      </c>
      <c r="AS6" s="111">
        <v>0</v>
      </c>
      <c r="AT6" s="112">
        <v>0</v>
      </c>
    </row>
    <row r="7" spans="2:46" ht="12" customHeight="1" x14ac:dyDescent="0.3">
      <c r="B7" s="110" t="s">
        <v>35</v>
      </c>
      <c r="C7" s="111" t="s">
        <v>50</v>
      </c>
      <c r="D7" s="111" t="s">
        <v>25</v>
      </c>
      <c r="E7" s="111" t="s">
        <v>25</v>
      </c>
      <c r="F7" s="111" t="s">
        <v>76</v>
      </c>
      <c r="G7" s="111" t="s">
        <v>38</v>
      </c>
      <c r="H7" s="111" t="s">
        <v>72</v>
      </c>
      <c r="I7" s="111" t="s">
        <v>25</v>
      </c>
      <c r="J7" s="111">
        <v>41.45</v>
      </c>
      <c r="K7" s="111">
        <v>0</v>
      </c>
      <c r="L7" s="111">
        <v>0</v>
      </c>
      <c r="M7" s="111">
        <v>0</v>
      </c>
      <c r="N7" s="111">
        <v>0</v>
      </c>
      <c r="O7" s="111">
        <v>0</v>
      </c>
      <c r="P7" s="111">
        <v>0</v>
      </c>
      <c r="Q7" s="111">
        <v>0</v>
      </c>
      <c r="R7" s="111">
        <v>0</v>
      </c>
      <c r="S7" s="111">
        <v>0</v>
      </c>
      <c r="T7" s="111">
        <v>0</v>
      </c>
      <c r="U7" s="111">
        <v>0</v>
      </c>
      <c r="V7" s="111">
        <v>0</v>
      </c>
      <c r="W7" s="111">
        <v>0</v>
      </c>
      <c r="X7" s="111">
        <v>17.702804236530199</v>
      </c>
      <c r="Y7" s="111">
        <v>0</v>
      </c>
      <c r="Z7" s="111">
        <v>0</v>
      </c>
      <c r="AA7" s="111">
        <v>23.7439224933368</v>
      </c>
      <c r="AB7" s="111">
        <v>0</v>
      </c>
      <c r="AC7" s="111">
        <v>0</v>
      </c>
      <c r="AD7" s="111">
        <v>0</v>
      </c>
      <c r="AE7" s="111">
        <v>0</v>
      </c>
      <c r="AF7" s="111">
        <v>0</v>
      </c>
      <c r="AG7" s="111">
        <v>0</v>
      </c>
      <c r="AH7" s="111">
        <v>0</v>
      </c>
      <c r="AI7" s="111">
        <v>0</v>
      </c>
      <c r="AJ7" s="111">
        <v>0</v>
      </c>
      <c r="AK7" s="111">
        <v>0</v>
      </c>
      <c r="AL7" s="111">
        <v>0</v>
      </c>
      <c r="AM7" s="111">
        <v>0</v>
      </c>
      <c r="AN7" s="111">
        <v>0</v>
      </c>
      <c r="AO7" s="111">
        <v>0</v>
      </c>
      <c r="AP7" s="111">
        <v>0</v>
      </c>
      <c r="AQ7" s="111">
        <v>0</v>
      </c>
      <c r="AR7" s="111">
        <v>0</v>
      </c>
      <c r="AS7" s="111">
        <v>0</v>
      </c>
      <c r="AT7" s="112">
        <v>0</v>
      </c>
    </row>
    <row r="8" spans="2:46" ht="12" customHeight="1" x14ac:dyDescent="0.3">
      <c r="B8" s="110" t="s">
        <v>35</v>
      </c>
      <c r="C8" s="111" t="s">
        <v>50</v>
      </c>
      <c r="D8" s="111" t="s">
        <v>25</v>
      </c>
      <c r="E8" s="111" t="s">
        <v>25</v>
      </c>
      <c r="F8" s="111" t="s">
        <v>25</v>
      </c>
      <c r="G8" s="111" t="s">
        <v>37</v>
      </c>
      <c r="H8" s="111" t="s">
        <v>69</v>
      </c>
      <c r="I8" s="111" t="s">
        <v>25</v>
      </c>
      <c r="J8" s="111">
        <v>101.06</v>
      </c>
      <c r="K8" s="111">
        <v>122.59</v>
      </c>
      <c r="L8" s="111">
        <v>0</v>
      </c>
      <c r="M8" s="111">
        <v>0.96092360362538398</v>
      </c>
      <c r="N8" s="111">
        <v>0</v>
      </c>
      <c r="O8" s="111">
        <v>0</v>
      </c>
      <c r="P8" s="111">
        <v>0</v>
      </c>
      <c r="Q8" s="111">
        <v>75.293061635074196</v>
      </c>
      <c r="R8" s="111">
        <v>14.1557534619453</v>
      </c>
      <c r="S8" s="111">
        <v>0</v>
      </c>
      <c r="T8" s="111">
        <v>0</v>
      </c>
      <c r="U8" s="111">
        <v>0</v>
      </c>
      <c r="V8" s="111">
        <v>0</v>
      </c>
      <c r="W8" s="111">
        <v>0</v>
      </c>
      <c r="X8" s="111">
        <v>0</v>
      </c>
      <c r="Y8" s="111">
        <v>0</v>
      </c>
      <c r="Z8" s="111">
        <v>0</v>
      </c>
      <c r="AA8" s="111">
        <v>0</v>
      </c>
      <c r="AB8" s="111">
        <v>0</v>
      </c>
      <c r="AC8" s="111">
        <v>0</v>
      </c>
      <c r="AD8" s="111">
        <v>0</v>
      </c>
      <c r="AE8" s="111">
        <v>10.6483958611009</v>
      </c>
      <c r="AF8" s="111">
        <v>0</v>
      </c>
      <c r="AG8" s="111">
        <v>0</v>
      </c>
      <c r="AH8" s="111">
        <v>0</v>
      </c>
      <c r="AI8" s="111">
        <v>0</v>
      </c>
      <c r="AJ8" s="111">
        <v>0</v>
      </c>
      <c r="AK8" s="111">
        <v>0</v>
      </c>
      <c r="AL8" s="111">
        <v>0</v>
      </c>
      <c r="AM8" s="111">
        <v>0</v>
      </c>
      <c r="AN8" s="111">
        <v>122.586380160567</v>
      </c>
      <c r="AO8" s="111">
        <v>0</v>
      </c>
      <c r="AP8" s="111">
        <v>0</v>
      </c>
      <c r="AQ8" s="111">
        <v>0</v>
      </c>
      <c r="AR8" s="111">
        <v>0</v>
      </c>
      <c r="AS8" s="111">
        <v>0</v>
      </c>
      <c r="AT8" s="112">
        <v>0</v>
      </c>
    </row>
    <row r="9" spans="2:46" ht="12" customHeight="1" x14ac:dyDescent="0.3">
      <c r="B9" s="110" t="s">
        <v>35</v>
      </c>
      <c r="C9" s="111" t="s">
        <v>50</v>
      </c>
      <c r="D9" s="111" t="s">
        <v>25</v>
      </c>
      <c r="E9" s="111" t="s">
        <v>25</v>
      </c>
      <c r="F9" s="111" t="s">
        <v>25</v>
      </c>
      <c r="G9" s="111" t="s">
        <v>37</v>
      </c>
      <c r="H9" s="111" t="s">
        <v>72</v>
      </c>
      <c r="I9" s="111" t="s">
        <v>25</v>
      </c>
      <c r="J9" s="111">
        <v>117.45</v>
      </c>
      <c r="K9" s="111">
        <v>0</v>
      </c>
      <c r="L9" s="111">
        <v>0</v>
      </c>
      <c r="M9" s="111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>
        <v>0</v>
      </c>
      <c r="X9" s="111">
        <v>30.692964455736799</v>
      </c>
      <c r="Y9" s="111">
        <v>0</v>
      </c>
      <c r="Z9" s="111">
        <v>0</v>
      </c>
      <c r="AA9" s="111">
        <v>86.752423506409102</v>
      </c>
      <c r="AB9" s="111">
        <v>0</v>
      </c>
      <c r="AC9" s="111">
        <v>0</v>
      </c>
      <c r="AD9" s="111">
        <v>0</v>
      </c>
      <c r="AE9" s="111">
        <v>0</v>
      </c>
      <c r="AF9" s="111">
        <v>0</v>
      </c>
      <c r="AG9" s="111">
        <v>0</v>
      </c>
      <c r="AH9" s="111">
        <v>0</v>
      </c>
      <c r="AI9" s="111">
        <v>0</v>
      </c>
      <c r="AJ9" s="111">
        <v>0</v>
      </c>
      <c r="AK9" s="111">
        <v>0</v>
      </c>
      <c r="AL9" s="111">
        <v>0</v>
      </c>
      <c r="AM9" s="111">
        <v>0</v>
      </c>
      <c r="AN9" s="111">
        <v>0</v>
      </c>
      <c r="AO9" s="111">
        <v>0</v>
      </c>
      <c r="AP9" s="111">
        <v>0</v>
      </c>
      <c r="AQ9" s="111">
        <v>0</v>
      </c>
      <c r="AR9" s="111">
        <v>0</v>
      </c>
      <c r="AS9" s="111">
        <v>0</v>
      </c>
      <c r="AT9" s="112">
        <v>0</v>
      </c>
    </row>
    <row r="10" spans="2:46" ht="12" customHeight="1" x14ac:dyDescent="0.3">
      <c r="B10" s="110" t="s">
        <v>35</v>
      </c>
      <c r="C10" s="111" t="s">
        <v>50</v>
      </c>
      <c r="D10" s="111" t="s">
        <v>25</v>
      </c>
      <c r="E10" s="111" t="s">
        <v>25</v>
      </c>
      <c r="F10" s="111" t="s">
        <v>25</v>
      </c>
      <c r="G10" s="111" t="s">
        <v>38</v>
      </c>
      <c r="H10" s="111" t="s">
        <v>69</v>
      </c>
      <c r="I10" s="111" t="s">
        <v>25</v>
      </c>
      <c r="J10" s="111">
        <v>101.06</v>
      </c>
      <c r="K10" s="111">
        <v>122.59</v>
      </c>
      <c r="L10" s="111">
        <v>0</v>
      </c>
      <c r="M10" s="111">
        <v>0.96092360362538398</v>
      </c>
      <c r="N10" s="111">
        <v>0</v>
      </c>
      <c r="O10" s="111">
        <v>0</v>
      </c>
      <c r="P10" s="111">
        <v>0</v>
      </c>
      <c r="Q10" s="111">
        <v>75.293061635074196</v>
      </c>
      <c r="R10" s="111">
        <v>14.1557534619453</v>
      </c>
      <c r="S10" s="111">
        <v>0</v>
      </c>
      <c r="T10" s="111">
        <v>0</v>
      </c>
      <c r="U10" s="111">
        <v>0</v>
      </c>
      <c r="V10" s="111">
        <v>0</v>
      </c>
      <c r="W10" s="111">
        <v>0</v>
      </c>
      <c r="X10" s="111">
        <v>0</v>
      </c>
      <c r="Y10" s="111">
        <v>0</v>
      </c>
      <c r="Z10" s="111">
        <v>0</v>
      </c>
      <c r="AA10" s="111">
        <v>0</v>
      </c>
      <c r="AB10" s="111">
        <v>0</v>
      </c>
      <c r="AC10" s="111">
        <v>0</v>
      </c>
      <c r="AD10" s="111">
        <v>0</v>
      </c>
      <c r="AE10" s="111">
        <v>10.6483958611009</v>
      </c>
      <c r="AF10" s="111">
        <v>0</v>
      </c>
      <c r="AG10" s="111">
        <v>0</v>
      </c>
      <c r="AH10" s="111">
        <v>0</v>
      </c>
      <c r="AI10" s="111">
        <v>0</v>
      </c>
      <c r="AJ10" s="111">
        <v>0</v>
      </c>
      <c r="AK10" s="111">
        <v>0</v>
      </c>
      <c r="AL10" s="111">
        <v>0</v>
      </c>
      <c r="AM10" s="111">
        <v>0</v>
      </c>
      <c r="AN10" s="111">
        <v>122.586380160567</v>
      </c>
      <c r="AO10" s="111">
        <v>0</v>
      </c>
      <c r="AP10" s="111">
        <v>0</v>
      </c>
      <c r="AQ10" s="111">
        <v>0</v>
      </c>
      <c r="AR10" s="111">
        <v>0</v>
      </c>
      <c r="AS10" s="111">
        <v>0</v>
      </c>
      <c r="AT10" s="112">
        <v>0</v>
      </c>
    </row>
    <row r="11" spans="2:46" ht="12" customHeight="1" x14ac:dyDescent="0.3">
      <c r="B11" s="110" t="s">
        <v>35</v>
      </c>
      <c r="C11" s="111" t="s">
        <v>50</v>
      </c>
      <c r="D11" s="111" t="s">
        <v>25</v>
      </c>
      <c r="E11" s="111" t="s">
        <v>25</v>
      </c>
      <c r="F11" s="111" t="s">
        <v>25</v>
      </c>
      <c r="G11" s="111" t="s">
        <v>38</v>
      </c>
      <c r="H11" s="111" t="s">
        <v>72</v>
      </c>
      <c r="I11" s="111" t="s">
        <v>25</v>
      </c>
      <c r="J11" s="111">
        <v>41.45</v>
      </c>
      <c r="K11" s="111">
        <v>0</v>
      </c>
      <c r="L11" s="111">
        <v>0</v>
      </c>
      <c r="M11" s="111">
        <v>0</v>
      </c>
      <c r="N11" s="111">
        <v>0</v>
      </c>
      <c r="O11" s="111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1">
        <v>0</v>
      </c>
      <c r="V11" s="111">
        <v>0</v>
      </c>
      <c r="W11" s="111">
        <v>0</v>
      </c>
      <c r="X11" s="111">
        <v>17.702804236530199</v>
      </c>
      <c r="Y11" s="111">
        <v>0</v>
      </c>
      <c r="Z11" s="111">
        <v>0</v>
      </c>
      <c r="AA11" s="111">
        <v>23.7439224933368</v>
      </c>
      <c r="AB11" s="111">
        <v>0</v>
      </c>
      <c r="AC11" s="111">
        <v>0</v>
      </c>
      <c r="AD11" s="111">
        <v>0</v>
      </c>
      <c r="AE11" s="111">
        <v>0</v>
      </c>
      <c r="AF11" s="111">
        <v>0</v>
      </c>
      <c r="AG11" s="111">
        <v>0</v>
      </c>
      <c r="AH11" s="111">
        <v>0</v>
      </c>
      <c r="AI11" s="111">
        <v>0</v>
      </c>
      <c r="AJ11" s="111">
        <v>0</v>
      </c>
      <c r="AK11" s="111">
        <v>0</v>
      </c>
      <c r="AL11" s="111">
        <v>0</v>
      </c>
      <c r="AM11" s="111">
        <v>0</v>
      </c>
      <c r="AN11" s="111">
        <v>0</v>
      </c>
      <c r="AO11" s="111">
        <v>0</v>
      </c>
      <c r="AP11" s="111">
        <v>0</v>
      </c>
      <c r="AQ11" s="111">
        <v>0</v>
      </c>
      <c r="AR11" s="111">
        <v>0</v>
      </c>
      <c r="AS11" s="111">
        <v>0</v>
      </c>
      <c r="AT11" s="112">
        <v>0</v>
      </c>
    </row>
    <row r="12" spans="2:46" ht="12" customHeight="1" x14ac:dyDescent="0.3">
      <c r="B12" s="110" t="s">
        <v>35</v>
      </c>
      <c r="C12" s="111" t="s">
        <v>77</v>
      </c>
      <c r="D12" s="111" t="s">
        <v>25</v>
      </c>
      <c r="E12" s="111" t="s">
        <v>25</v>
      </c>
      <c r="F12" s="111" t="s">
        <v>25</v>
      </c>
      <c r="G12" s="111" t="s">
        <v>25</v>
      </c>
      <c r="H12" s="111" t="s">
        <v>72</v>
      </c>
      <c r="I12" s="111" t="s">
        <v>25</v>
      </c>
      <c r="J12" s="111">
        <v>13.26</v>
      </c>
      <c r="K12" s="111">
        <v>0</v>
      </c>
      <c r="L12" s="111">
        <v>0</v>
      </c>
      <c r="M12" s="111">
        <v>1.1967394665888E-2</v>
      </c>
      <c r="N12" s="111">
        <v>0</v>
      </c>
      <c r="O12" s="111">
        <v>0</v>
      </c>
      <c r="P12" s="111">
        <v>0</v>
      </c>
      <c r="Q12" s="111">
        <v>0</v>
      </c>
      <c r="R12" s="111">
        <v>0</v>
      </c>
      <c r="S12" s="111">
        <v>0</v>
      </c>
      <c r="T12" s="111">
        <v>0</v>
      </c>
      <c r="U12" s="111">
        <v>0</v>
      </c>
      <c r="V12" s="111">
        <v>0</v>
      </c>
      <c r="W12" s="111">
        <v>0</v>
      </c>
      <c r="X12" s="111">
        <v>0</v>
      </c>
      <c r="Y12" s="111">
        <v>0</v>
      </c>
      <c r="Z12" s="111">
        <v>0</v>
      </c>
      <c r="AA12" s="111">
        <v>13.251989815107899</v>
      </c>
      <c r="AB12" s="111">
        <v>0</v>
      </c>
      <c r="AC12" s="111">
        <v>0</v>
      </c>
      <c r="AD12" s="111">
        <v>0</v>
      </c>
      <c r="AE12" s="111">
        <v>0</v>
      </c>
      <c r="AF12" s="111">
        <v>0</v>
      </c>
      <c r="AG12" s="111">
        <v>0</v>
      </c>
      <c r="AH12" s="111">
        <v>0</v>
      </c>
      <c r="AI12" s="111">
        <v>0</v>
      </c>
      <c r="AJ12" s="111">
        <v>0</v>
      </c>
      <c r="AK12" s="111">
        <v>0</v>
      </c>
      <c r="AL12" s="111">
        <v>0</v>
      </c>
      <c r="AM12" s="111">
        <v>0</v>
      </c>
      <c r="AN12" s="111">
        <v>0</v>
      </c>
      <c r="AO12" s="111">
        <v>0</v>
      </c>
      <c r="AP12" s="111">
        <v>0</v>
      </c>
      <c r="AQ12" s="111">
        <v>0</v>
      </c>
      <c r="AR12" s="111">
        <v>0</v>
      </c>
      <c r="AS12" s="111">
        <v>0</v>
      </c>
      <c r="AT12" s="112">
        <v>0</v>
      </c>
    </row>
    <row r="13" spans="2:46" ht="12" customHeight="1" x14ac:dyDescent="0.3">
      <c r="B13" s="110" t="s">
        <v>35</v>
      </c>
      <c r="C13" s="111" t="s">
        <v>36</v>
      </c>
      <c r="D13" s="111" t="s">
        <v>25</v>
      </c>
      <c r="E13" s="111" t="s">
        <v>25</v>
      </c>
      <c r="F13" s="111" t="s">
        <v>76</v>
      </c>
      <c r="G13" s="111" t="s">
        <v>37</v>
      </c>
      <c r="H13" s="111" t="s">
        <v>69</v>
      </c>
      <c r="I13" s="111" t="s">
        <v>25</v>
      </c>
      <c r="J13" s="111">
        <v>2836.87</v>
      </c>
      <c r="K13" s="111">
        <v>0</v>
      </c>
      <c r="L13" s="111">
        <v>0</v>
      </c>
      <c r="M13" s="111">
        <v>0.96092360362538398</v>
      </c>
      <c r="N13" s="111">
        <v>0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111">
        <v>0</v>
      </c>
      <c r="X13" s="111">
        <v>738.86601108665297</v>
      </c>
      <c r="Y13" s="111">
        <v>0</v>
      </c>
      <c r="Z13" s="111">
        <v>0</v>
      </c>
      <c r="AA13" s="111">
        <v>2086.3953250685699</v>
      </c>
      <c r="AB13" s="111">
        <v>0</v>
      </c>
      <c r="AC13" s="111">
        <v>0</v>
      </c>
      <c r="AD13" s="111">
        <v>0</v>
      </c>
      <c r="AE13" s="111">
        <v>10.6483958611009</v>
      </c>
      <c r="AF13" s="111">
        <v>0</v>
      </c>
      <c r="AG13" s="111">
        <v>0</v>
      </c>
      <c r="AH13" s="111">
        <v>0</v>
      </c>
      <c r="AI13" s="111">
        <v>0</v>
      </c>
      <c r="AJ13" s="111">
        <v>0</v>
      </c>
      <c r="AK13" s="111">
        <v>0</v>
      </c>
      <c r="AL13" s="111">
        <v>0</v>
      </c>
      <c r="AM13" s="111">
        <v>0</v>
      </c>
      <c r="AN13" s="111">
        <v>0</v>
      </c>
      <c r="AO13" s="111">
        <v>0</v>
      </c>
      <c r="AP13" s="111">
        <v>0</v>
      </c>
      <c r="AQ13" s="111">
        <v>0</v>
      </c>
      <c r="AR13" s="111">
        <v>0</v>
      </c>
      <c r="AS13" s="111">
        <v>0</v>
      </c>
      <c r="AT13" s="112">
        <v>0</v>
      </c>
    </row>
    <row r="14" spans="2:46" ht="12" customHeight="1" x14ac:dyDescent="0.3">
      <c r="B14" s="110" t="s">
        <v>35</v>
      </c>
      <c r="C14" s="111" t="s">
        <v>36</v>
      </c>
      <c r="D14" s="111" t="s">
        <v>25</v>
      </c>
      <c r="E14" s="111" t="s">
        <v>25</v>
      </c>
      <c r="F14" s="111" t="s">
        <v>76</v>
      </c>
      <c r="G14" s="111" t="s">
        <v>25</v>
      </c>
      <c r="H14" s="111" t="s">
        <v>72</v>
      </c>
      <c r="I14" s="111" t="s">
        <v>25</v>
      </c>
      <c r="J14" s="111">
        <v>41.45</v>
      </c>
      <c r="K14" s="111">
        <v>0</v>
      </c>
      <c r="L14" s="111">
        <v>0</v>
      </c>
      <c r="M14" s="111">
        <v>0</v>
      </c>
      <c r="N14" s="111">
        <v>0</v>
      </c>
      <c r="O14" s="111">
        <v>0</v>
      </c>
      <c r="P14" s="111">
        <v>0</v>
      </c>
      <c r="Q14" s="111">
        <v>0</v>
      </c>
      <c r="R14" s="111">
        <v>0</v>
      </c>
      <c r="S14" s="111">
        <v>0</v>
      </c>
      <c r="T14" s="111">
        <v>0</v>
      </c>
      <c r="U14" s="111">
        <v>0</v>
      </c>
      <c r="V14" s="111">
        <v>0</v>
      </c>
      <c r="W14" s="111">
        <v>0</v>
      </c>
      <c r="X14" s="111">
        <v>17.702804236530199</v>
      </c>
      <c r="Y14" s="111">
        <v>0</v>
      </c>
      <c r="Z14" s="111">
        <v>0</v>
      </c>
      <c r="AA14" s="111">
        <v>23.7439224933368</v>
      </c>
      <c r="AB14" s="111">
        <v>0</v>
      </c>
      <c r="AC14" s="111">
        <v>0</v>
      </c>
      <c r="AD14" s="111">
        <v>0</v>
      </c>
      <c r="AE14" s="111">
        <v>0</v>
      </c>
      <c r="AF14" s="111">
        <v>0</v>
      </c>
      <c r="AG14" s="111">
        <v>0</v>
      </c>
      <c r="AH14" s="111">
        <v>0</v>
      </c>
      <c r="AI14" s="111">
        <v>0</v>
      </c>
      <c r="AJ14" s="111">
        <v>0</v>
      </c>
      <c r="AK14" s="111">
        <v>0</v>
      </c>
      <c r="AL14" s="111">
        <v>0</v>
      </c>
      <c r="AM14" s="111">
        <v>0</v>
      </c>
      <c r="AN14" s="111">
        <v>0</v>
      </c>
      <c r="AO14" s="111">
        <v>0</v>
      </c>
      <c r="AP14" s="111">
        <v>0</v>
      </c>
      <c r="AQ14" s="111">
        <v>0</v>
      </c>
      <c r="AR14" s="111">
        <v>0</v>
      </c>
      <c r="AS14" s="111">
        <v>0</v>
      </c>
      <c r="AT14" s="112">
        <v>0</v>
      </c>
    </row>
    <row r="15" spans="2:46" ht="12" customHeight="1" x14ac:dyDescent="0.3">
      <c r="B15" s="110" t="s">
        <v>35</v>
      </c>
      <c r="C15" s="111" t="s">
        <v>36</v>
      </c>
      <c r="D15" s="111" t="s">
        <v>25</v>
      </c>
      <c r="E15" s="111" t="s">
        <v>25</v>
      </c>
      <c r="F15" s="111" t="s">
        <v>76</v>
      </c>
      <c r="G15" s="111" t="s">
        <v>38</v>
      </c>
      <c r="H15" s="111" t="s">
        <v>69</v>
      </c>
      <c r="I15" s="111" t="s">
        <v>25</v>
      </c>
      <c r="J15" s="111">
        <v>11.61</v>
      </c>
      <c r="K15" s="111">
        <v>0</v>
      </c>
      <c r="L15" s="111">
        <v>0</v>
      </c>
      <c r="M15" s="111">
        <v>0.96092360362538398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>
        <v>0</v>
      </c>
      <c r="X15" s="111">
        <v>0</v>
      </c>
      <c r="Y15" s="111">
        <v>0</v>
      </c>
      <c r="Z15" s="111">
        <v>0</v>
      </c>
      <c r="AA15" s="111">
        <v>0</v>
      </c>
      <c r="AB15" s="111">
        <v>0</v>
      </c>
      <c r="AC15" s="111">
        <v>0</v>
      </c>
      <c r="AD15" s="111">
        <v>0</v>
      </c>
      <c r="AE15" s="111">
        <v>10.6483958611009</v>
      </c>
      <c r="AF15" s="111">
        <v>0</v>
      </c>
      <c r="AG15" s="111">
        <v>0</v>
      </c>
      <c r="AH15" s="111">
        <v>0</v>
      </c>
      <c r="AI15" s="111">
        <v>0</v>
      </c>
      <c r="AJ15" s="111">
        <v>0</v>
      </c>
      <c r="AK15" s="111">
        <v>0</v>
      </c>
      <c r="AL15" s="111">
        <v>0</v>
      </c>
      <c r="AM15" s="111">
        <v>0</v>
      </c>
      <c r="AN15" s="111">
        <v>0</v>
      </c>
      <c r="AO15" s="111">
        <v>0</v>
      </c>
      <c r="AP15" s="111">
        <v>0</v>
      </c>
      <c r="AQ15" s="111">
        <v>0</v>
      </c>
      <c r="AR15" s="111">
        <v>0</v>
      </c>
      <c r="AS15" s="111">
        <v>0</v>
      </c>
      <c r="AT15" s="112">
        <v>0</v>
      </c>
    </row>
    <row r="16" spans="2:46" ht="12" customHeight="1" x14ac:dyDescent="0.3">
      <c r="B16" s="110" t="s">
        <v>35</v>
      </c>
      <c r="C16" s="111" t="s">
        <v>36</v>
      </c>
      <c r="D16" s="111" t="s">
        <v>25</v>
      </c>
      <c r="E16" s="111" t="s">
        <v>25</v>
      </c>
      <c r="F16" s="111" t="s">
        <v>25</v>
      </c>
      <c r="G16" s="111" t="s">
        <v>37</v>
      </c>
      <c r="H16" s="111" t="s">
        <v>69</v>
      </c>
      <c r="I16" s="111" t="s">
        <v>25</v>
      </c>
      <c r="J16" s="111">
        <v>2926.32</v>
      </c>
      <c r="K16" s="111">
        <v>122.59</v>
      </c>
      <c r="L16" s="111">
        <v>0</v>
      </c>
      <c r="M16" s="111">
        <v>0.96092360362538398</v>
      </c>
      <c r="N16" s="111">
        <v>0</v>
      </c>
      <c r="O16" s="111">
        <v>0</v>
      </c>
      <c r="P16" s="111">
        <v>0</v>
      </c>
      <c r="Q16" s="111">
        <v>75.293061635074196</v>
      </c>
      <c r="R16" s="111">
        <v>14.1557534619453</v>
      </c>
      <c r="S16" s="111">
        <v>0</v>
      </c>
      <c r="T16" s="111">
        <v>0</v>
      </c>
      <c r="U16" s="111">
        <v>0</v>
      </c>
      <c r="V16" s="111">
        <v>0</v>
      </c>
      <c r="W16" s="111">
        <v>0</v>
      </c>
      <c r="X16" s="111">
        <v>738.86601108665297</v>
      </c>
      <c r="Y16" s="111">
        <v>0</v>
      </c>
      <c r="Z16" s="111">
        <v>0</v>
      </c>
      <c r="AA16" s="111">
        <v>2086.3953250685699</v>
      </c>
      <c r="AB16" s="111">
        <v>0</v>
      </c>
      <c r="AC16" s="111">
        <v>0</v>
      </c>
      <c r="AD16" s="111">
        <v>0</v>
      </c>
      <c r="AE16" s="111">
        <v>10.6483958611009</v>
      </c>
      <c r="AF16" s="111">
        <v>0</v>
      </c>
      <c r="AG16" s="111">
        <v>0</v>
      </c>
      <c r="AH16" s="111">
        <v>0</v>
      </c>
      <c r="AI16" s="111">
        <v>0</v>
      </c>
      <c r="AJ16" s="111">
        <v>0</v>
      </c>
      <c r="AK16" s="111">
        <v>0</v>
      </c>
      <c r="AL16" s="111">
        <v>0</v>
      </c>
      <c r="AM16" s="111">
        <v>0</v>
      </c>
      <c r="AN16" s="111">
        <v>122.586380160567</v>
      </c>
      <c r="AO16" s="111">
        <v>0</v>
      </c>
      <c r="AP16" s="111">
        <v>0</v>
      </c>
      <c r="AQ16" s="111">
        <v>0</v>
      </c>
      <c r="AR16" s="111">
        <v>0</v>
      </c>
      <c r="AS16" s="111">
        <v>0</v>
      </c>
      <c r="AT16" s="112">
        <v>0</v>
      </c>
    </row>
    <row r="17" spans="2:46" ht="12" customHeight="1" x14ac:dyDescent="0.3">
      <c r="B17" s="110" t="s">
        <v>35</v>
      </c>
      <c r="C17" s="111" t="s">
        <v>36</v>
      </c>
      <c r="D17" s="111" t="s">
        <v>25</v>
      </c>
      <c r="E17" s="111" t="s">
        <v>25</v>
      </c>
      <c r="F17" s="111" t="s">
        <v>25</v>
      </c>
      <c r="G17" s="111" t="s">
        <v>25</v>
      </c>
      <c r="H17" s="111" t="s">
        <v>72</v>
      </c>
      <c r="I17" s="111" t="s">
        <v>25</v>
      </c>
      <c r="J17" s="111">
        <v>41.45</v>
      </c>
      <c r="K17" s="111">
        <v>0</v>
      </c>
      <c r="L17" s="111">
        <v>0</v>
      </c>
      <c r="M17" s="111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0</v>
      </c>
      <c r="W17" s="111">
        <v>0</v>
      </c>
      <c r="X17" s="111">
        <v>17.702804236530199</v>
      </c>
      <c r="Y17" s="111">
        <v>0</v>
      </c>
      <c r="Z17" s="111">
        <v>0</v>
      </c>
      <c r="AA17" s="111">
        <v>23.7439224933368</v>
      </c>
      <c r="AB17" s="111">
        <v>0</v>
      </c>
      <c r="AC17" s="111">
        <v>0</v>
      </c>
      <c r="AD17" s="111">
        <v>0</v>
      </c>
      <c r="AE17" s="111">
        <v>0</v>
      </c>
      <c r="AF17" s="111">
        <v>0</v>
      </c>
      <c r="AG17" s="111">
        <v>0</v>
      </c>
      <c r="AH17" s="111">
        <v>0</v>
      </c>
      <c r="AI17" s="111">
        <v>0</v>
      </c>
      <c r="AJ17" s="111">
        <v>0</v>
      </c>
      <c r="AK17" s="111">
        <v>0</v>
      </c>
      <c r="AL17" s="111">
        <v>0</v>
      </c>
      <c r="AM17" s="111">
        <v>0</v>
      </c>
      <c r="AN17" s="111">
        <v>0</v>
      </c>
      <c r="AO17" s="111">
        <v>0</v>
      </c>
      <c r="AP17" s="111">
        <v>0</v>
      </c>
      <c r="AQ17" s="111">
        <v>0</v>
      </c>
      <c r="AR17" s="111">
        <v>0</v>
      </c>
      <c r="AS17" s="111">
        <v>0</v>
      </c>
      <c r="AT17" s="112">
        <v>0</v>
      </c>
    </row>
    <row r="18" spans="2:46" ht="12" customHeight="1" x14ac:dyDescent="0.3">
      <c r="B18" s="110" t="s">
        <v>35</v>
      </c>
      <c r="C18" s="111" t="s">
        <v>36</v>
      </c>
      <c r="D18" s="111" t="s">
        <v>25</v>
      </c>
      <c r="E18" s="111" t="s">
        <v>25</v>
      </c>
      <c r="F18" s="111" t="s">
        <v>25</v>
      </c>
      <c r="G18" s="111" t="s">
        <v>38</v>
      </c>
      <c r="H18" s="111" t="s">
        <v>69</v>
      </c>
      <c r="I18" s="111" t="s">
        <v>25</v>
      </c>
      <c r="J18" s="111">
        <v>101.06</v>
      </c>
      <c r="K18" s="111">
        <v>122.59</v>
      </c>
      <c r="L18" s="111">
        <v>0</v>
      </c>
      <c r="M18" s="111">
        <v>0.96092360362538398</v>
      </c>
      <c r="N18" s="111">
        <v>0</v>
      </c>
      <c r="O18" s="111">
        <v>0</v>
      </c>
      <c r="P18" s="111">
        <v>0</v>
      </c>
      <c r="Q18" s="111">
        <v>75.293061635074196</v>
      </c>
      <c r="R18" s="111">
        <v>14.1557534619453</v>
      </c>
      <c r="S18" s="111">
        <v>0</v>
      </c>
      <c r="T18" s="111">
        <v>0</v>
      </c>
      <c r="U18" s="111">
        <v>0</v>
      </c>
      <c r="V18" s="111">
        <v>0</v>
      </c>
      <c r="W18" s="111">
        <v>0</v>
      </c>
      <c r="X18" s="111">
        <v>0</v>
      </c>
      <c r="Y18" s="111">
        <v>0</v>
      </c>
      <c r="Z18" s="111">
        <v>0</v>
      </c>
      <c r="AA18" s="111">
        <v>0</v>
      </c>
      <c r="AB18" s="111">
        <v>0</v>
      </c>
      <c r="AC18" s="111">
        <v>0</v>
      </c>
      <c r="AD18" s="111">
        <v>0</v>
      </c>
      <c r="AE18" s="111">
        <v>10.6483958611009</v>
      </c>
      <c r="AF18" s="111">
        <v>0</v>
      </c>
      <c r="AG18" s="111">
        <v>0</v>
      </c>
      <c r="AH18" s="111">
        <v>0</v>
      </c>
      <c r="AI18" s="111">
        <v>0</v>
      </c>
      <c r="AJ18" s="111">
        <v>0</v>
      </c>
      <c r="AK18" s="111">
        <v>0</v>
      </c>
      <c r="AL18" s="111">
        <v>0</v>
      </c>
      <c r="AM18" s="111">
        <v>0</v>
      </c>
      <c r="AN18" s="111">
        <v>122.586380160567</v>
      </c>
      <c r="AO18" s="111">
        <v>0</v>
      </c>
      <c r="AP18" s="111">
        <v>0</v>
      </c>
      <c r="AQ18" s="111">
        <v>0</v>
      </c>
      <c r="AR18" s="111">
        <v>0</v>
      </c>
      <c r="AS18" s="111">
        <v>0</v>
      </c>
      <c r="AT18" s="112">
        <v>0</v>
      </c>
    </row>
    <row r="19" spans="2:46" ht="12" customHeight="1" x14ac:dyDescent="0.3">
      <c r="B19" s="110" t="s">
        <v>78</v>
      </c>
      <c r="C19" s="111" t="s">
        <v>77</v>
      </c>
      <c r="D19" s="111" t="s">
        <v>25</v>
      </c>
      <c r="E19" s="111" t="s">
        <v>25</v>
      </c>
      <c r="F19" s="111" t="s">
        <v>79</v>
      </c>
      <c r="G19" s="111" t="s">
        <v>25</v>
      </c>
      <c r="H19" s="111" t="s">
        <v>72</v>
      </c>
      <c r="I19" s="111" t="s">
        <v>25</v>
      </c>
      <c r="J19" s="111">
        <v>7.62</v>
      </c>
      <c r="K19" s="111">
        <v>0</v>
      </c>
      <c r="L19" s="111">
        <v>0</v>
      </c>
      <c r="M19" s="111">
        <v>6.8385112376502704E-3</v>
      </c>
      <c r="N19" s="111">
        <v>0</v>
      </c>
      <c r="O19" s="111">
        <v>0</v>
      </c>
      <c r="P19" s="111">
        <v>0</v>
      </c>
      <c r="Q19" s="111">
        <v>0</v>
      </c>
      <c r="R19" s="111">
        <v>0</v>
      </c>
      <c r="S19" s="111">
        <v>0</v>
      </c>
      <c r="T19" s="111">
        <v>0</v>
      </c>
      <c r="U19" s="111">
        <v>0</v>
      </c>
      <c r="V19" s="111">
        <v>0</v>
      </c>
      <c r="W19" s="111">
        <v>0</v>
      </c>
      <c r="X19" s="111">
        <v>0</v>
      </c>
      <c r="Y19" s="111">
        <v>0</v>
      </c>
      <c r="Z19" s="111">
        <v>0</v>
      </c>
      <c r="AA19" s="111">
        <v>7.6122914758414</v>
      </c>
      <c r="AB19" s="111">
        <v>0</v>
      </c>
      <c r="AC19" s="111">
        <v>0</v>
      </c>
      <c r="AD19" s="111">
        <v>0</v>
      </c>
      <c r="AE19" s="111">
        <v>0</v>
      </c>
      <c r="AF19" s="111">
        <v>0</v>
      </c>
      <c r="AG19" s="111">
        <v>0</v>
      </c>
      <c r="AH19" s="111">
        <v>0</v>
      </c>
      <c r="AI19" s="111">
        <v>0</v>
      </c>
      <c r="AJ19" s="111">
        <v>0</v>
      </c>
      <c r="AK19" s="111">
        <v>0</v>
      </c>
      <c r="AL19" s="111">
        <v>0</v>
      </c>
      <c r="AM19" s="111">
        <v>0</v>
      </c>
      <c r="AN19" s="111">
        <v>0</v>
      </c>
      <c r="AO19" s="111">
        <v>0</v>
      </c>
      <c r="AP19" s="111">
        <v>0</v>
      </c>
      <c r="AQ19" s="111">
        <v>0</v>
      </c>
      <c r="AR19" s="111">
        <v>0</v>
      </c>
      <c r="AS19" s="111">
        <v>0</v>
      </c>
      <c r="AT19" s="112">
        <v>0</v>
      </c>
    </row>
    <row r="20" spans="2:46" ht="12" customHeight="1" x14ac:dyDescent="0.3">
      <c r="B20" s="110" t="s">
        <v>78</v>
      </c>
      <c r="C20" s="111" t="s">
        <v>77</v>
      </c>
      <c r="D20" s="111" t="s">
        <v>25</v>
      </c>
      <c r="E20" s="111" t="s">
        <v>25</v>
      </c>
      <c r="F20" s="111" t="s">
        <v>80</v>
      </c>
      <c r="G20" s="111" t="s">
        <v>25</v>
      </c>
      <c r="H20" s="111" t="s">
        <v>72</v>
      </c>
      <c r="I20" s="111" t="s">
        <v>25</v>
      </c>
      <c r="J20" s="111">
        <v>22.66</v>
      </c>
      <c r="K20" s="111">
        <v>0</v>
      </c>
      <c r="L20" s="111">
        <v>0</v>
      </c>
      <c r="M20" s="111">
        <v>6.8385112376502704E-3</v>
      </c>
      <c r="N20" s="111">
        <v>0</v>
      </c>
      <c r="O20" s="111">
        <v>0</v>
      </c>
      <c r="P20" s="111">
        <v>0</v>
      </c>
      <c r="Q20" s="111">
        <v>0</v>
      </c>
      <c r="R20" s="111">
        <v>0</v>
      </c>
      <c r="S20" s="111">
        <v>0</v>
      </c>
      <c r="T20" s="111">
        <v>0</v>
      </c>
      <c r="U20" s="111">
        <v>0</v>
      </c>
      <c r="V20" s="111">
        <v>0</v>
      </c>
      <c r="W20" s="111">
        <v>0</v>
      </c>
      <c r="X20" s="111">
        <v>0</v>
      </c>
      <c r="Y20" s="111">
        <v>0</v>
      </c>
      <c r="Z20" s="111">
        <v>0</v>
      </c>
      <c r="AA20" s="111">
        <v>22.658042273576299</v>
      </c>
      <c r="AB20" s="111">
        <v>0</v>
      </c>
      <c r="AC20" s="111">
        <v>0</v>
      </c>
      <c r="AD20" s="111">
        <v>0</v>
      </c>
      <c r="AE20" s="111">
        <v>0</v>
      </c>
      <c r="AF20" s="111">
        <v>0</v>
      </c>
      <c r="AG20" s="111">
        <v>0</v>
      </c>
      <c r="AH20" s="111">
        <v>0</v>
      </c>
      <c r="AI20" s="111">
        <v>0</v>
      </c>
      <c r="AJ20" s="111">
        <v>0</v>
      </c>
      <c r="AK20" s="111">
        <v>0</v>
      </c>
      <c r="AL20" s="111">
        <v>0</v>
      </c>
      <c r="AM20" s="111">
        <v>0</v>
      </c>
      <c r="AN20" s="111">
        <v>0</v>
      </c>
      <c r="AO20" s="111">
        <v>0</v>
      </c>
      <c r="AP20" s="111">
        <v>0</v>
      </c>
      <c r="AQ20" s="111">
        <v>0</v>
      </c>
      <c r="AR20" s="111">
        <v>0</v>
      </c>
      <c r="AS20" s="111">
        <v>0</v>
      </c>
      <c r="AT20" s="112">
        <v>0</v>
      </c>
    </row>
    <row r="21" spans="2:46" ht="12" customHeight="1" x14ac:dyDescent="0.3">
      <c r="B21" s="110" t="s">
        <v>22</v>
      </c>
      <c r="C21" s="111" t="s">
        <v>39</v>
      </c>
      <c r="D21" s="111" t="s">
        <v>24</v>
      </c>
      <c r="E21" s="111" t="s">
        <v>24</v>
      </c>
      <c r="F21" s="111" t="s">
        <v>25</v>
      </c>
      <c r="G21" s="111" t="s">
        <v>37</v>
      </c>
      <c r="H21" s="111" t="s">
        <v>69</v>
      </c>
      <c r="I21" s="111" t="s">
        <v>25</v>
      </c>
      <c r="J21" s="111">
        <v>1564.94</v>
      </c>
      <c r="K21" s="111">
        <v>122.59</v>
      </c>
      <c r="L21" s="111">
        <v>0</v>
      </c>
      <c r="M21" s="111">
        <v>2.1402654900219602</v>
      </c>
      <c r="N21" s="111">
        <v>0</v>
      </c>
      <c r="O21" s="111">
        <v>0</v>
      </c>
      <c r="P21" s="111">
        <v>0</v>
      </c>
      <c r="Q21" s="111">
        <v>89.634597184612105</v>
      </c>
      <c r="R21" s="111">
        <v>14.1557534619453</v>
      </c>
      <c r="S21" s="111">
        <v>0</v>
      </c>
      <c r="T21" s="111">
        <v>0</v>
      </c>
      <c r="U21" s="111">
        <v>0</v>
      </c>
      <c r="V21" s="111">
        <v>0</v>
      </c>
      <c r="W21" s="111">
        <v>0</v>
      </c>
      <c r="X21" s="111">
        <v>286.87022183245398</v>
      </c>
      <c r="Y21" s="111">
        <v>0</v>
      </c>
      <c r="Z21" s="111">
        <v>0</v>
      </c>
      <c r="AA21" s="111">
        <v>1150.88541482752</v>
      </c>
      <c r="AB21" s="111">
        <v>0</v>
      </c>
      <c r="AC21" s="111">
        <v>0</v>
      </c>
      <c r="AD21" s="111">
        <v>0</v>
      </c>
      <c r="AE21" s="111">
        <v>21.2546946923595</v>
      </c>
      <c r="AF21" s="111">
        <v>0</v>
      </c>
      <c r="AG21" s="111">
        <v>0</v>
      </c>
      <c r="AH21" s="111">
        <v>0</v>
      </c>
      <c r="AI21" s="111">
        <v>0</v>
      </c>
      <c r="AJ21" s="111">
        <v>0</v>
      </c>
      <c r="AK21" s="111">
        <v>0</v>
      </c>
      <c r="AL21" s="111">
        <v>0</v>
      </c>
      <c r="AM21" s="111">
        <v>0</v>
      </c>
      <c r="AN21" s="111">
        <v>122.586380160567</v>
      </c>
      <c r="AO21" s="111">
        <v>0</v>
      </c>
      <c r="AP21" s="111">
        <v>0</v>
      </c>
      <c r="AQ21" s="111">
        <v>0</v>
      </c>
      <c r="AR21" s="111">
        <v>0</v>
      </c>
      <c r="AS21" s="111">
        <v>0</v>
      </c>
      <c r="AT21" s="112">
        <v>0</v>
      </c>
    </row>
    <row r="22" spans="2:46" ht="12" customHeight="1" x14ac:dyDescent="0.3">
      <c r="B22" s="110" t="s">
        <v>22</v>
      </c>
      <c r="C22" s="111" t="s">
        <v>39</v>
      </c>
      <c r="D22" s="111" t="s">
        <v>24</v>
      </c>
      <c r="E22" s="111" t="s">
        <v>24</v>
      </c>
      <c r="F22" s="111" t="s">
        <v>25</v>
      </c>
      <c r="G22" s="111" t="s">
        <v>40</v>
      </c>
      <c r="H22" s="111" t="s">
        <v>69</v>
      </c>
      <c r="I22" s="111" t="s">
        <v>25</v>
      </c>
      <c r="J22" s="111">
        <v>989.85</v>
      </c>
      <c r="K22" s="111">
        <v>122.59</v>
      </c>
      <c r="L22" s="111">
        <v>0</v>
      </c>
      <c r="M22" s="111">
        <v>2.1402654900219602</v>
      </c>
      <c r="N22" s="111">
        <v>0</v>
      </c>
      <c r="O22" s="111">
        <v>0</v>
      </c>
      <c r="P22" s="111">
        <v>0</v>
      </c>
      <c r="Q22" s="111">
        <v>89.634597184612105</v>
      </c>
      <c r="R22" s="111">
        <v>14.1557534619453</v>
      </c>
      <c r="S22" s="111">
        <v>0</v>
      </c>
      <c r="T22" s="111">
        <v>0</v>
      </c>
      <c r="U22" s="111">
        <v>0</v>
      </c>
      <c r="V22" s="111">
        <v>0</v>
      </c>
      <c r="W22" s="111">
        <v>0</v>
      </c>
      <c r="X22" s="111">
        <v>172.13424923746899</v>
      </c>
      <c r="Y22" s="111">
        <v>0</v>
      </c>
      <c r="Z22" s="111">
        <v>0</v>
      </c>
      <c r="AA22" s="111">
        <v>690.53153342123301</v>
      </c>
      <c r="AB22" s="111">
        <v>0</v>
      </c>
      <c r="AC22" s="111">
        <v>0</v>
      </c>
      <c r="AD22" s="111">
        <v>0</v>
      </c>
      <c r="AE22" s="111">
        <v>21.2546946923595</v>
      </c>
      <c r="AF22" s="111">
        <v>0</v>
      </c>
      <c r="AG22" s="111">
        <v>0</v>
      </c>
      <c r="AH22" s="111">
        <v>0</v>
      </c>
      <c r="AI22" s="111">
        <v>0</v>
      </c>
      <c r="AJ22" s="111">
        <v>0</v>
      </c>
      <c r="AK22" s="111">
        <v>0</v>
      </c>
      <c r="AL22" s="111">
        <v>0</v>
      </c>
      <c r="AM22" s="111">
        <v>0</v>
      </c>
      <c r="AN22" s="111">
        <v>122.586380160567</v>
      </c>
      <c r="AO22" s="111">
        <v>0</v>
      </c>
      <c r="AP22" s="111">
        <v>0</v>
      </c>
      <c r="AQ22" s="111">
        <v>0</v>
      </c>
      <c r="AR22" s="111">
        <v>0</v>
      </c>
      <c r="AS22" s="111">
        <v>0</v>
      </c>
      <c r="AT22" s="112">
        <v>0</v>
      </c>
    </row>
    <row r="23" spans="2:46" ht="12" customHeight="1" x14ac:dyDescent="0.3">
      <c r="B23" s="110" t="s">
        <v>22</v>
      </c>
      <c r="C23" s="111" t="s">
        <v>39</v>
      </c>
      <c r="D23" s="111" t="s">
        <v>24</v>
      </c>
      <c r="E23" s="111" t="s">
        <v>24</v>
      </c>
      <c r="F23" s="111" t="s">
        <v>25</v>
      </c>
      <c r="G23" s="111" t="s">
        <v>38</v>
      </c>
      <c r="H23" s="111" t="s">
        <v>69</v>
      </c>
      <c r="I23" s="111" t="s">
        <v>25</v>
      </c>
      <c r="J23" s="111">
        <v>414.76</v>
      </c>
      <c r="K23" s="111">
        <v>122.59</v>
      </c>
      <c r="L23" s="111">
        <v>0</v>
      </c>
      <c r="M23" s="111">
        <v>2.1402654900219602</v>
      </c>
      <c r="N23" s="111">
        <v>0</v>
      </c>
      <c r="O23" s="111">
        <v>0</v>
      </c>
      <c r="P23" s="111">
        <v>0</v>
      </c>
      <c r="Q23" s="111">
        <v>89.634597184612105</v>
      </c>
      <c r="R23" s="111">
        <v>14.1557534619453</v>
      </c>
      <c r="S23" s="111">
        <v>0</v>
      </c>
      <c r="T23" s="111">
        <v>0</v>
      </c>
      <c r="U23" s="111">
        <v>0</v>
      </c>
      <c r="V23" s="111">
        <v>0</v>
      </c>
      <c r="W23" s="111">
        <v>0</v>
      </c>
      <c r="X23" s="111">
        <v>57.3981778159105</v>
      </c>
      <c r="Y23" s="111">
        <v>0</v>
      </c>
      <c r="Z23" s="111">
        <v>0</v>
      </c>
      <c r="AA23" s="111">
        <v>230.17714991249699</v>
      </c>
      <c r="AB23" s="111">
        <v>0</v>
      </c>
      <c r="AC23" s="111">
        <v>0</v>
      </c>
      <c r="AD23" s="111">
        <v>0</v>
      </c>
      <c r="AE23" s="111">
        <v>21.2546946923595</v>
      </c>
      <c r="AF23" s="111">
        <v>0</v>
      </c>
      <c r="AG23" s="111">
        <v>0</v>
      </c>
      <c r="AH23" s="111">
        <v>0</v>
      </c>
      <c r="AI23" s="111">
        <v>0</v>
      </c>
      <c r="AJ23" s="111">
        <v>0</v>
      </c>
      <c r="AK23" s="111">
        <v>0</v>
      </c>
      <c r="AL23" s="111">
        <v>0</v>
      </c>
      <c r="AM23" s="111">
        <v>0</v>
      </c>
      <c r="AN23" s="111">
        <v>122.586380160567</v>
      </c>
      <c r="AO23" s="111">
        <v>0</v>
      </c>
      <c r="AP23" s="111">
        <v>0</v>
      </c>
      <c r="AQ23" s="111">
        <v>0</v>
      </c>
      <c r="AR23" s="111">
        <v>0</v>
      </c>
      <c r="AS23" s="111">
        <v>0</v>
      </c>
      <c r="AT23" s="112">
        <v>0</v>
      </c>
    </row>
    <row r="24" spans="2:46" ht="12" customHeight="1" x14ac:dyDescent="0.3">
      <c r="B24" s="110" t="s">
        <v>22</v>
      </c>
      <c r="C24" s="111" t="s">
        <v>23</v>
      </c>
      <c r="D24" s="111" t="s">
        <v>24</v>
      </c>
      <c r="E24" s="111" t="s">
        <v>748</v>
      </c>
      <c r="F24" s="111" t="s">
        <v>25</v>
      </c>
      <c r="G24" s="111" t="s">
        <v>25</v>
      </c>
      <c r="H24" s="111" t="s">
        <v>69</v>
      </c>
      <c r="I24" s="111" t="s">
        <v>25</v>
      </c>
      <c r="J24" s="111">
        <v>555.92999999999995</v>
      </c>
      <c r="K24" s="111">
        <v>122.59</v>
      </c>
      <c r="L24" s="111">
        <v>0</v>
      </c>
      <c r="M24" s="111">
        <v>2.1402654900219602</v>
      </c>
      <c r="N24" s="111">
        <v>0</v>
      </c>
      <c r="O24" s="111">
        <v>0</v>
      </c>
      <c r="P24" s="111">
        <v>0</v>
      </c>
      <c r="Q24" s="111">
        <v>0</v>
      </c>
      <c r="R24" s="111">
        <v>0</v>
      </c>
      <c r="S24" s="111">
        <v>0</v>
      </c>
      <c r="T24" s="111">
        <v>0</v>
      </c>
      <c r="U24" s="111">
        <v>0</v>
      </c>
      <c r="V24" s="111">
        <v>0</v>
      </c>
      <c r="W24" s="111">
        <v>0</v>
      </c>
      <c r="X24" s="111">
        <v>106.27730728259201</v>
      </c>
      <c r="Y24" s="111">
        <v>0</v>
      </c>
      <c r="Z24" s="111">
        <v>0</v>
      </c>
      <c r="AA24" s="111">
        <v>426.25392862967698</v>
      </c>
      <c r="AB24" s="111">
        <v>0</v>
      </c>
      <c r="AC24" s="111">
        <v>0</v>
      </c>
      <c r="AD24" s="111">
        <v>0</v>
      </c>
      <c r="AE24" s="111">
        <v>21.2546946923595</v>
      </c>
      <c r="AF24" s="111">
        <v>0</v>
      </c>
      <c r="AG24" s="111">
        <v>0</v>
      </c>
      <c r="AH24" s="111">
        <v>0</v>
      </c>
      <c r="AI24" s="111">
        <v>0</v>
      </c>
      <c r="AJ24" s="111">
        <v>0</v>
      </c>
      <c r="AK24" s="111">
        <v>0</v>
      </c>
      <c r="AL24" s="111">
        <v>0</v>
      </c>
      <c r="AM24" s="111">
        <v>0</v>
      </c>
      <c r="AN24" s="111">
        <v>122.586380160567</v>
      </c>
      <c r="AO24" s="111">
        <v>0</v>
      </c>
      <c r="AP24" s="111">
        <v>0</v>
      </c>
      <c r="AQ24" s="111">
        <v>0</v>
      </c>
      <c r="AR24" s="111">
        <v>0</v>
      </c>
      <c r="AS24" s="111">
        <v>0</v>
      </c>
      <c r="AT24" s="112">
        <v>0</v>
      </c>
    </row>
    <row r="25" spans="2:46" ht="12" customHeight="1" x14ac:dyDescent="0.3">
      <c r="B25" s="110" t="s">
        <v>22</v>
      </c>
      <c r="C25" s="111" t="s">
        <v>23</v>
      </c>
      <c r="D25" s="111" t="s">
        <v>24</v>
      </c>
      <c r="E25" s="111" t="s">
        <v>24</v>
      </c>
      <c r="F25" s="111" t="s">
        <v>25</v>
      </c>
      <c r="G25" s="111" t="s">
        <v>25</v>
      </c>
      <c r="H25" s="111" t="s">
        <v>69</v>
      </c>
      <c r="I25" s="111" t="s">
        <v>25</v>
      </c>
      <c r="J25" s="111">
        <v>659.72</v>
      </c>
      <c r="K25" s="111">
        <v>122.59</v>
      </c>
      <c r="L25" s="111">
        <v>0</v>
      </c>
      <c r="M25" s="111">
        <v>2.1402654900219602</v>
      </c>
      <c r="N25" s="111">
        <v>0</v>
      </c>
      <c r="O25" s="111">
        <v>0</v>
      </c>
      <c r="P25" s="111">
        <v>0</v>
      </c>
      <c r="Q25" s="111">
        <v>89.634597184612105</v>
      </c>
      <c r="R25" s="111">
        <v>14.1557534619453</v>
      </c>
      <c r="S25" s="111">
        <v>0</v>
      </c>
      <c r="T25" s="111">
        <v>0</v>
      </c>
      <c r="U25" s="111">
        <v>0</v>
      </c>
      <c r="V25" s="111">
        <v>0</v>
      </c>
      <c r="W25" s="111">
        <v>0</v>
      </c>
      <c r="X25" s="111">
        <v>106.27730728259201</v>
      </c>
      <c r="Y25" s="111">
        <v>0</v>
      </c>
      <c r="Z25" s="111">
        <v>0</v>
      </c>
      <c r="AA25" s="111">
        <v>426.25392862967698</v>
      </c>
      <c r="AB25" s="111">
        <v>0</v>
      </c>
      <c r="AC25" s="111">
        <v>0</v>
      </c>
      <c r="AD25" s="111">
        <v>0</v>
      </c>
      <c r="AE25" s="111">
        <v>21.2546946923595</v>
      </c>
      <c r="AF25" s="111">
        <v>0</v>
      </c>
      <c r="AG25" s="111">
        <v>0</v>
      </c>
      <c r="AH25" s="111">
        <v>0</v>
      </c>
      <c r="AI25" s="111">
        <v>0</v>
      </c>
      <c r="AJ25" s="111">
        <v>0</v>
      </c>
      <c r="AK25" s="111">
        <v>0</v>
      </c>
      <c r="AL25" s="111">
        <v>0</v>
      </c>
      <c r="AM25" s="111">
        <v>0</v>
      </c>
      <c r="AN25" s="111">
        <v>122.586380160567</v>
      </c>
      <c r="AO25" s="111">
        <v>0</v>
      </c>
      <c r="AP25" s="111">
        <v>0</v>
      </c>
      <c r="AQ25" s="111">
        <v>0</v>
      </c>
      <c r="AR25" s="111">
        <v>0</v>
      </c>
      <c r="AS25" s="111">
        <v>0</v>
      </c>
      <c r="AT25" s="112">
        <v>0</v>
      </c>
    </row>
    <row r="26" spans="2:46" ht="12" customHeight="1" x14ac:dyDescent="0.3">
      <c r="B26" s="110" t="s">
        <v>22</v>
      </c>
      <c r="C26" s="111" t="s">
        <v>84</v>
      </c>
      <c r="D26" s="111" t="s">
        <v>24</v>
      </c>
      <c r="E26" s="111" t="s">
        <v>748</v>
      </c>
      <c r="F26" s="111" t="s">
        <v>25</v>
      </c>
      <c r="G26" s="111" t="s">
        <v>25</v>
      </c>
      <c r="H26" s="111" t="s">
        <v>69</v>
      </c>
      <c r="I26" s="111" t="s">
        <v>25</v>
      </c>
      <c r="J26" s="111">
        <v>555.92999999999995</v>
      </c>
      <c r="K26" s="111">
        <v>122.59</v>
      </c>
      <c r="L26" s="111">
        <v>0</v>
      </c>
      <c r="M26" s="111">
        <v>2.1402654900219602</v>
      </c>
      <c r="N26" s="111">
        <v>0</v>
      </c>
      <c r="O26" s="111">
        <v>0</v>
      </c>
      <c r="P26" s="111">
        <v>0</v>
      </c>
      <c r="Q26" s="111">
        <v>0</v>
      </c>
      <c r="R26" s="111">
        <v>0</v>
      </c>
      <c r="S26" s="111">
        <v>0</v>
      </c>
      <c r="T26" s="111">
        <v>0</v>
      </c>
      <c r="U26" s="111">
        <v>0</v>
      </c>
      <c r="V26" s="111">
        <v>0</v>
      </c>
      <c r="W26" s="111">
        <v>0</v>
      </c>
      <c r="X26" s="111">
        <v>106.27730728259201</v>
      </c>
      <c r="Y26" s="111">
        <v>0</v>
      </c>
      <c r="Z26" s="111">
        <v>0</v>
      </c>
      <c r="AA26" s="111">
        <v>426.25392862967698</v>
      </c>
      <c r="AB26" s="111">
        <v>0</v>
      </c>
      <c r="AC26" s="111">
        <v>0</v>
      </c>
      <c r="AD26" s="111">
        <v>0</v>
      </c>
      <c r="AE26" s="111">
        <v>21.2546946923595</v>
      </c>
      <c r="AF26" s="111">
        <v>0</v>
      </c>
      <c r="AG26" s="111">
        <v>0</v>
      </c>
      <c r="AH26" s="111">
        <v>0</v>
      </c>
      <c r="AI26" s="111">
        <v>0</v>
      </c>
      <c r="AJ26" s="111">
        <v>0</v>
      </c>
      <c r="AK26" s="111">
        <v>0</v>
      </c>
      <c r="AL26" s="111">
        <v>0</v>
      </c>
      <c r="AM26" s="111">
        <v>0</v>
      </c>
      <c r="AN26" s="111">
        <v>122.586380160567</v>
      </c>
      <c r="AO26" s="111">
        <v>0</v>
      </c>
      <c r="AP26" s="111">
        <v>0</v>
      </c>
      <c r="AQ26" s="111">
        <v>0</v>
      </c>
      <c r="AR26" s="111">
        <v>0</v>
      </c>
      <c r="AS26" s="111">
        <v>0</v>
      </c>
      <c r="AT26" s="112">
        <v>0</v>
      </c>
    </row>
    <row r="27" spans="2:46" ht="12" customHeight="1" x14ac:dyDescent="0.3">
      <c r="B27" s="110" t="s">
        <v>22</v>
      </c>
      <c r="C27" s="111" t="s">
        <v>84</v>
      </c>
      <c r="D27" s="111" t="s">
        <v>24</v>
      </c>
      <c r="E27" s="111" t="s">
        <v>24</v>
      </c>
      <c r="F27" s="111" t="s">
        <v>25</v>
      </c>
      <c r="G27" s="111" t="s">
        <v>25</v>
      </c>
      <c r="H27" s="111" t="s">
        <v>69</v>
      </c>
      <c r="I27" s="111" t="s">
        <v>25</v>
      </c>
      <c r="J27" s="111">
        <v>659.72</v>
      </c>
      <c r="K27" s="111">
        <v>122.59</v>
      </c>
      <c r="L27" s="111">
        <v>0</v>
      </c>
      <c r="M27" s="111">
        <v>2.1402654900219602</v>
      </c>
      <c r="N27" s="111">
        <v>0</v>
      </c>
      <c r="O27" s="111">
        <v>0</v>
      </c>
      <c r="P27" s="111">
        <v>0</v>
      </c>
      <c r="Q27" s="111">
        <v>89.634597184612105</v>
      </c>
      <c r="R27" s="111">
        <v>14.1557534619453</v>
      </c>
      <c r="S27" s="111">
        <v>0</v>
      </c>
      <c r="T27" s="111">
        <v>0</v>
      </c>
      <c r="U27" s="111">
        <v>0</v>
      </c>
      <c r="V27" s="111">
        <v>0</v>
      </c>
      <c r="W27" s="111">
        <v>0</v>
      </c>
      <c r="X27" s="111">
        <v>106.27730728259201</v>
      </c>
      <c r="Y27" s="111">
        <v>0</v>
      </c>
      <c r="Z27" s="111">
        <v>0</v>
      </c>
      <c r="AA27" s="111">
        <v>426.25392862967698</v>
      </c>
      <c r="AB27" s="111">
        <v>0</v>
      </c>
      <c r="AC27" s="111">
        <v>0</v>
      </c>
      <c r="AD27" s="111">
        <v>0</v>
      </c>
      <c r="AE27" s="111">
        <v>21.2546946923595</v>
      </c>
      <c r="AF27" s="111">
        <v>0</v>
      </c>
      <c r="AG27" s="111">
        <v>0</v>
      </c>
      <c r="AH27" s="111">
        <v>0</v>
      </c>
      <c r="AI27" s="111">
        <v>0</v>
      </c>
      <c r="AJ27" s="111">
        <v>0</v>
      </c>
      <c r="AK27" s="111">
        <v>0</v>
      </c>
      <c r="AL27" s="111">
        <v>0</v>
      </c>
      <c r="AM27" s="111">
        <v>0</v>
      </c>
      <c r="AN27" s="111">
        <v>122.586380160567</v>
      </c>
      <c r="AO27" s="111">
        <v>0</v>
      </c>
      <c r="AP27" s="111">
        <v>0</v>
      </c>
      <c r="AQ27" s="111">
        <v>0</v>
      </c>
      <c r="AR27" s="111">
        <v>0</v>
      </c>
      <c r="AS27" s="111">
        <v>0</v>
      </c>
      <c r="AT27" s="112">
        <v>0</v>
      </c>
    </row>
    <row r="28" spans="2:46" ht="12" customHeight="1" x14ac:dyDescent="0.3">
      <c r="B28" s="110" t="s">
        <v>42</v>
      </c>
      <c r="C28" s="111" t="s">
        <v>39</v>
      </c>
      <c r="D28" s="111" t="s">
        <v>43</v>
      </c>
      <c r="E28" s="111" t="s">
        <v>85</v>
      </c>
      <c r="F28" s="111" t="s">
        <v>25</v>
      </c>
      <c r="G28" s="111" t="s">
        <v>37</v>
      </c>
      <c r="H28" s="111" t="s">
        <v>69</v>
      </c>
      <c r="I28" s="111" t="s">
        <v>25</v>
      </c>
      <c r="J28" s="111">
        <v>1596.2</v>
      </c>
      <c r="K28" s="111">
        <v>115.23</v>
      </c>
      <c r="L28" s="111">
        <v>0</v>
      </c>
      <c r="M28" s="111">
        <v>2.0118495606206501</v>
      </c>
      <c r="N28" s="111">
        <v>0</v>
      </c>
      <c r="O28" s="111">
        <v>0</v>
      </c>
      <c r="P28" s="111">
        <v>0</v>
      </c>
      <c r="Q28" s="111">
        <v>84.256521353535405</v>
      </c>
      <c r="R28" s="111">
        <v>13.3064082542286</v>
      </c>
      <c r="S28" s="111">
        <v>0</v>
      </c>
      <c r="T28" s="111">
        <v>0</v>
      </c>
      <c r="U28" s="111">
        <v>0</v>
      </c>
      <c r="V28" s="111">
        <v>0</v>
      </c>
      <c r="W28" s="111">
        <v>0</v>
      </c>
      <c r="X28" s="111">
        <v>294.64738897181701</v>
      </c>
      <c r="Y28" s="111">
        <v>0</v>
      </c>
      <c r="Z28" s="111">
        <v>0</v>
      </c>
      <c r="AA28" s="111">
        <v>1182.0021008256001</v>
      </c>
      <c r="AB28" s="111">
        <v>0</v>
      </c>
      <c r="AC28" s="111">
        <v>0</v>
      </c>
      <c r="AD28" s="111">
        <v>0</v>
      </c>
      <c r="AE28" s="111">
        <v>19.9794130108179</v>
      </c>
      <c r="AF28" s="111">
        <v>0</v>
      </c>
      <c r="AG28" s="111">
        <v>0</v>
      </c>
      <c r="AH28" s="111">
        <v>0</v>
      </c>
      <c r="AI28" s="111">
        <v>0</v>
      </c>
      <c r="AJ28" s="111">
        <v>0</v>
      </c>
      <c r="AK28" s="111">
        <v>0</v>
      </c>
      <c r="AL28" s="111">
        <v>0</v>
      </c>
      <c r="AM28" s="111">
        <v>0</v>
      </c>
      <c r="AN28" s="111">
        <v>115.231197350933</v>
      </c>
      <c r="AO28" s="111">
        <v>0</v>
      </c>
      <c r="AP28" s="111">
        <v>0</v>
      </c>
      <c r="AQ28" s="111">
        <v>0</v>
      </c>
      <c r="AR28" s="111">
        <v>0</v>
      </c>
      <c r="AS28" s="111">
        <v>0</v>
      </c>
      <c r="AT28" s="112">
        <v>0</v>
      </c>
    </row>
    <row r="29" spans="2:46" ht="12" customHeight="1" x14ac:dyDescent="0.3">
      <c r="B29" s="110" t="s">
        <v>42</v>
      </c>
      <c r="C29" s="111" t="s">
        <v>39</v>
      </c>
      <c r="D29" s="111" t="s">
        <v>43</v>
      </c>
      <c r="E29" s="111" t="s">
        <v>85</v>
      </c>
      <c r="F29" s="111" t="s">
        <v>25</v>
      </c>
      <c r="G29" s="111" t="s">
        <v>40</v>
      </c>
      <c r="H29" s="111" t="s">
        <v>69</v>
      </c>
      <c r="I29" s="111" t="s">
        <v>25</v>
      </c>
      <c r="J29" s="111">
        <v>1005.5</v>
      </c>
      <c r="K29" s="111">
        <v>115.23</v>
      </c>
      <c r="L29" s="111">
        <v>0</v>
      </c>
      <c r="M29" s="111">
        <v>2.0118495606206501</v>
      </c>
      <c r="N29" s="111">
        <v>0</v>
      </c>
      <c r="O29" s="111">
        <v>0</v>
      </c>
      <c r="P29" s="111">
        <v>0</v>
      </c>
      <c r="Q29" s="111">
        <v>84.256521353535405</v>
      </c>
      <c r="R29" s="111">
        <v>13.3064082542286</v>
      </c>
      <c r="S29" s="111">
        <v>0</v>
      </c>
      <c r="T29" s="111">
        <v>0</v>
      </c>
      <c r="U29" s="111">
        <v>0</v>
      </c>
      <c r="V29" s="111">
        <v>0</v>
      </c>
      <c r="W29" s="111">
        <v>0</v>
      </c>
      <c r="X29" s="111">
        <v>176.74300675999299</v>
      </c>
      <c r="Y29" s="111">
        <v>0</v>
      </c>
      <c r="Z29" s="111">
        <v>0</v>
      </c>
      <c r="AA29" s="111">
        <v>709.20157514622497</v>
      </c>
      <c r="AB29" s="111">
        <v>0</v>
      </c>
      <c r="AC29" s="111">
        <v>0</v>
      </c>
      <c r="AD29" s="111">
        <v>0</v>
      </c>
      <c r="AE29" s="111">
        <v>19.9794130108179</v>
      </c>
      <c r="AF29" s="111">
        <v>0</v>
      </c>
      <c r="AG29" s="111">
        <v>0</v>
      </c>
      <c r="AH29" s="111">
        <v>0</v>
      </c>
      <c r="AI29" s="111">
        <v>0</v>
      </c>
      <c r="AJ29" s="111">
        <v>0</v>
      </c>
      <c r="AK29" s="111">
        <v>0</v>
      </c>
      <c r="AL29" s="111">
        <v>0</v>
      </c>
      <c r="AM29" s="111">
        <v>0</v>
      </c>
      <c r="AN29" s="111">
        <v>115.231197350933</v>
      </c>
      <c r="AO29" s="111">
        <v>0</v>
      </c>
      <c r="AP29" s="111">
        <v>0</v>
      </c>
      <c r="AQ29" s="111">
        <v>0</v>
      </c>
      <c r="AR29" s="111">
        <v>0</v>
      </c>
      <c r="AS29" s="111">
        <v>0</v>
      </c>
      <c r="AT29" s="112">
        <v>0</v>
      </c>
    </row>
    <row r="30" spans="2:46" ht="12" customHeight="1" x14ac:dyDescent="0.3">
      <c r="B30" s="110" t="s">
        <v>42</v>
      </c>
      <c r="C30" s="111" t="s">
        <v>39</v>
      </c>
      <c r="D30" s="111" t="s">
        <v>43</v>
      </c>
      <c r="E30" s="111" t="s">
        <v>85</v>
      </c>
      <c r="F30" s="111" t="s">
        <v>25</v>
      </c>
      <c r="G30" s="111" t="s">
        <v>38</v>
      </c>
      <c r="H30" s="111" t="s">
        <v>69</v>
      </c>
      <c r="I30" s="111" t="s">
        <v>25</v>
      </c>
      <c r="J30" s="111">
        <v>414.91</v>
      </c>
      <c r="K30" s="111">
        <v>115.23</v>
      </c>
      <c r="L30" s="111">
        <v>0</v>
      </c>
      <c r="M30" s="111">
        <v>2.0118495606206501</v>
      </c>
      <c r="N30" s="111">
        <v>0</v>
      </c>
      <c r="O30" s="111">
        <v>0</v>
      </c>
      <c r="P30" s="111">
        <v>0</v>
      </c>
      <c r="Q30" s="111">
        <v>84.256521353535405</v>
      </c>
      <c r="R30" s="111">
        <v>13.3064082542286</v>
      </c>
      <c r="S30" s="111">
        <v>0</v>
      </c>
      <c r="T30" s="111">
        <v>0</v>
      </c>
      <c r="U30" s="111">
        <v>0</v>
      </c>
      <c r="V30" s="111">
        <v>0</v>
      </c>
      <c r="W30" s="111">
        <v>0</v>
      </c>
      <c r="X30" s="111">
        <v>58.952237554401798</v>
      </c>
      <c r="Y30" s="111">
        <v>0</v>
      </c>
      <c r="Z30" s="111">
        <v>0</v>
      </c>
      <c r="AA30" s="111">
        <v>236.400262839687</v>
      </c>
      <c r="AB30" s="111">
        <v>0</v>
      </c>
      <c r="AC30" s="111">
        <v>0</v>
      </c>
      <c r="AD30" s="111">
        <v>0</v>
      </c>
      <c r="AE30" s="111">
        <v>19.9794130108179</v>
      </c>
      <c r="AF30" s="111">
        <v>0</v>
      </c>
      <c r="AG30" s="111">
        <v>0</v>
      </c>
      <c r="AH30" s="111">
        <v>0</v>
      </c>
      <c r="AI30" s="111">
        <v>0</v>
      </c>
      <c r="AJ30" s="111">
        <v>0</v>
      </c>
      <c r="AK30" s="111">
        <v>0</v>
      </c>
      <c r="AL30" s="111">
        <v>0</v>
      </c>
      <c r="AM30" s="111">
        <v>0</v>
      </c>
      <c r="AN30" s="111">
        <v>115.231197350933</v>
      </c>
      <c r="AO30" s="111">
        <v>0</v>
      </c>
      <c r="AP30" s="111">
        <v>0</v>
      </c>
      <c r="AQ30" s="111">
        <v>0</v>
      </c>
      <c r="AR30" s="111">
        <v>0</v>
      </c>
      <c r="AS30" s="111">
        <v>0</v>
      </c>
      <c r="AT30" s="112">
        <v>0</v>
      </c>
    </row>
    <row r="31" spans="2:46" ht="12" customHeight="1" x14ac:dyDescent="0.3">
      <c r="B31" s="110" t="s">
        <v>42</v>
      </c>
      <c r="C31" s="111" t="s">
        <v>39</v>
      </c>
      <c r="D31" s="111" t="s">
        <v>43</v>
      </c>
      <c r="E31" s="111" t="s">
        <v>25</v>
      </c>
      <c r="F31" s="111" t="s">
        <v>25</v>
      </c>
      <c r="G31" s="111" t="s">
        <v>37</v>
      </c>
      <c r="H31" s="111" t="s">
        <v>69</v>
      </c>
      <c r="I31" s="111" t="s">
        <v>25</v>
      </c>
      <c r="J31" s="111">
        <v>1596.2</v>
      </c>
      <c r="K31" s="111">
        <v>115.23</v>
      </c>
      <c r="L31" s="111">
        <v>0</v>
      </c>
      <c r="M31" s="111">
        <v>2.0118495606206501</v>
      </c>
      <c r="N31" s="111">
        <v>0</v>
      </c>
      <c r="O31" s="111">
        <v>0</v>
      </c>
      <c r="P31" s="111">
        <v>0</v>
      </c>
      <c r="Q31" s="111">
        <v>84.256521353535405</v>
      </c>
      <c r="R31" s="111">
        <v>13.3064082542286</v>
      </c>
      <c r="S31" s="111">
        <v>0</v>
      </c>
      <c r="T31" s="111">
        <v>0</v>
      </c>
      <c r="U31" s="111">
        <v>0</v>
      </c>
      <c r="V31" s="111">
        <v>0</v>
      </c>
      <c r="W31" s="111">
        <v>0</v>
      </c>
      <c r="X31" s="111">
        <v>294.64738897181701</v>
      </c>
      <c r="Y31" s="111">
        <v>0</v>
      </c>
      <c r="Z31" s="111">
        <v>0</v>
      </c>
      <c r="AA31" s="111">
        <v>1182.0021008256001</v>
      </c>
      <c r="AB31" s="111">
        <v>0</v>
      </c>
      <c r="AC31" s="111">
        <v>0</v>
      </c>
      <c r="AD31" s="111">
        <v>0</v>
      </c>
      <c r="AE31" s="111">
        <v>19.9794130108179</v>
      </c>
      <c r="AF31" s="111">
        <v>0</v>
      </c>
      <c r="AG31" s="111">
        <v>0</v>
      </c>
      <c r="AH31" s="111">
        <v>0</v>
      </c>
      <c r="AI31" s="111">
        <v>0</v>
      </c>
      <c r="AJ31" s="111">
        <v>0</v>
      </c>
      <c r="AK31" s="111">
        <v>0</v>
      </c>
      <c r="AL31" s="111">
        <v>0</v>
      </c>
      <c r="AM31" s="111">
        <v>0</v>
      </c>
      <c r="AN31" s="111">
        <v>115.231197350933</v>
      </c>
      <c r="AO31" s="111">
        <v>0</v>
      </c>
      <c r="AP31" s="111">
        <v>0</v>
      </c>
      <c r="AQ31" s="111">
        <v>0</v>
      </c>
      <c r="AR31" s="111">
        <v>0</v>
      </c>
      <c r="AS31" s="111">
        <v>0</v>
      </c>
      <c r="AT31" s="112">
        <v>0</v>
      </c>
    </row>
    <row r="32" spans="2:46" ht="12" customHeight="1" x14ac:dyDescent="0.3">
      <c r="B32" s="110" t="s">
        <v>42</v>
      </c>
      <c r="C32" s="111" t="s">
        <v>39</v>
      </c>
      <c r="D32" s="111" t="s">
        <v>43</v>
      </c>
      <c r="E32" s="111" t="s">
        <v>25</v>
      </c>
      <c r="F32" s="111" t="s">
        <v>25</v>
      </c>
      <c r="G32" s="111" t="s">
        <v>40</v>
      </c>
      <c r="H32" s="111" t="s">
        <v>69</v>
      </c>
      <c r="I32" s="111" t="s">
        <v>25</v>
      </c>
      <c r="J32" s="111">
        <v>1005.5</v>
      </c>
      <c r="K32" s="111">
        <v>115.23</v>
      </c>
      <c r="L32" s="111">
        <v>0</v>
      </c>
      <c r="M32" s="111">
        <v>2.0118495606206501</v>
      </c>
      <c r="N32" s="111">
        <v>0</v>
      </c>
      <c r="O32" s="111">
        <v>0</v>
      </c>
      <c r="P32" s="111">
        <v>0</v>
      </c>
      <c r="Q32" s="111">
        <v>84.256521353535405</v>
      </c>
      <c r="R32" s="111">
        <v>13.3064082542286</v>
      </c>
      <c r="S32" s="111">
        <v>0</v>
      </c>
      <c r="T32" s="111">
        <v>0</v>
      </c>
      <c r="U32" s="111">
        <v>0</v>
      </c>
      <c r="V32" s="111">
        <v>0</v>
      </c>
      <c r="W32" s="111">
        <v>0</v>
      </c>
      <c r="X32" s="111">
        <v>176.74300675999299</v>
      </c>
      <c r="Y32" s="111">
        <v>0</v>
      </c>
      <c r="Z32" s="111">
        <v>0</v>
      </c>
      <c r="AA32" s="111">
        <v>709.20157514622497</v>
      </c>
      <c r="AB32" s="111">
        <v>0</v>
      </c>
      <c r="AC32" s="111">
        <v>0</v>
      </c>
      <c r="AD32" s="111">
        <v>0</v>
      </c>
      <c r="AE32" s="111">
        <v>19.9794130108179</v>
      </c>
      <c r="AF32" s="111">
        <v>0</v>
      </c>
      <c r="AG32" s="111">
        <v>0</v>
      </c>
      <c r="AH32" s="111">
        <v>0</v>
      </c>
      <c r="AI32" s="111">
        <v>0</v>
      </c>
      <c r="AJ32" s="111">
        <v>0</v>
      </c>
      <c r="AK32" s="111">
        <v>0</v>
      </c>
      <c r="AL32" s="111">
        <v>0</v>
      </c>
      <c r="AM32" s="111">
        <v>0</v>
      </c>
      <c r="AN32" s="111">
        <v>115.231197350933</v>
      </c>
      <c r="AO32" s="111">
        <v>0</v>
      </c>
      <c r="AP32" s="111">
        <v>0</v>
      </c>
      <c r="AQ32" s="111">
        <v>0</v>
      </c>
      <c r="AR32" s="111">
        <v>0</v>
      </c>
      <c r="AS32" s="111">
        <v>0</v>
      </c>
      <c r="AT32" s="112">
        <v>0</v>
      </c>
    </row>
    <row r="33" spans="2:46" ht="12" customHeight="1" x14ac:dyDescent="0.3">
      <c r="B33" s="110" t="s">
        <v>42</v>
      </c>
      <c r="C33" s="111" t="s">
        <v>39</v>
      </c>
      <c r="D33" s="111" t="s">
        <v>43</v>
      </c>
      <c r="E33" s="111" t="s">
        <v>25</v>
      </c>
      <c r="F33" s="111" t="s">
        <v>25</v>
      </c>
      <c r="G33" s="111" t="s">
        <v>38</v>
      </c>
      <c r="H33" s="111" t="s">
        <v>69</v>
      </c>
      <c r="I33" s="111" t="s">
        <v>25</v>
      </c>
      <c r="J33" s="111">
        <v>414.91</v>
      </c>
      <c r="K33" s="111">
        <v>115.23</v>
      </c>
      <c r="L33" s="111">
        <v>0</v>
      </c>
      <c r="M33" s="111">
        <v>2.0118495606206501</v>
      </c>
      <c r="N33" s="111">
        <v>0</v>
      </c>
      <c r="O33" s="111">
        <v>0</v>
      </c>
      <c r="P33" s="111">
        <v>0</v>
      </c>
      <c r="Q33" s="111">
        <v>84.256521353535405</v>
      </c>
      <c r="R33" s="111">
        <v>13.3064082542286</v>
      </c>
      <c r="S33" s="111">
        <v>0</v>
      </c>
      <c r="T33" s="111">
        <v>0</v>
      </c>
      <c r="U33" s="111">
        <v>0</v>
      </c>
      <c r="V33" s="111">
        <v>0</v>
      </c>
      <c r="W33" s="111">
        <v>0</v>
      </c>
      <c r="X33" s="111">
        <v>58.952237554401798</v>
      </c>
      <c r="Y33" s="111">
        <v>0</v>
      </c>
      <c r="Z33" s="111">
        <v>0</v>
      </c>
      <c r="AA33" s="111">
        <v>236.400262839687</v>
      </c>
      <c r="AB33" s="111">
        <v>0</v>
      </c>
      <c r="AC33" s="111">
        <v>0</v>
      </c>
      <c r="AD33" s="111">
        <v>0</v>
      </c>
      <c r="AE33" s="111">
        <v>19.9794130108179</v>
      </c>
      <c r="AF33" s="111">
        <v>0</v>
      </c>
      <c r="AG33" s="111">
        <v>0</v>
      </c>
      <c r="AH33" s="111">
        <v>0</v>
      </c>
      <c r="AI33" s="111">
        <v>0</v>
      </c>
      <c r="AJ33" s="111">
        <v>0</v>
      </c>
      <c r="AK33" s="111">
        <v>0</v>
      </c>
      <c r="AL33" s="111">
        <v>0</v>
      </c>
      <c r="AM33" s="111">
        <v>0</v>
      </c>
      <c r="AN33" s="111">
        <v>115.231197350933</v>
      </c>
      <c r="AO33" s="111">
        <v>0</v>
      </c>
      <c r="AP33" s="111">
        <v>0</v>
      </c>
      <c r="AQ33" s="111">
        <v>0</v>
      </c>
      <c r="AR33" s="111">
        <v>0</v>
      </c>
      <c r="AS33" s="111">
        <v>0</v>
      </c>
      <c r="AT33" s="112">
        <v>0</v>
      </c>
    </row>
    <row r="34" spans="2:46" ht="12" customHeight="1" x14ac:dyDescent="0.3">
      <c r="B34" s="110" t="s">
        <v>42</v>
      </c>
      <c r="C34" s="111" t="s">
        <v>39</v>
      </c>
      <c r="D34" s="111" t="s">
        <v>43</v>
      </c>
      <c r="E34" s="111" t="s">
        <v>86</v>
      </c>
      <c r="F34" s="111" t="s">
        <v>25</v>
      </c>
      <c r="G34" s="111" t="s">
        <v>37</v>
      </c>
      <c r="H34" s="111" t="s">
        <v>69</v>
      </c>
      <c r="I34" s="111" t="s">
        <v>25</v>
      </c>
      <c r="J34" s="111">
        <v>1562.24</v>
      </c>
      <c r="K34" s="111">
        <v>112.78</v>
      </c>
      <c r="L34" s="111">
        <v>0</v>
      </c>
      <c r="M34" s="111">
        <v>1.96904425082021</v>
      </c>
      <c r="N34" s="111">
        <v>0</v>
      </c>
      <c r="O34" s="111">
        <v>0</v>
      </c>
      <c r="P34" s="111">
        <v>0</v>
      </c>
      <c r="Q34" s="111">
        <v>82.4638294098432</v>
      </c>
      <c r="R34" s="111">
        <v>13.023293184989701</v>
      </c>
      <c r="S34" s="111">
        <v>0</v>
      </c>
      <c r="T34" s="111">
        <v>0</v>
      </c>
      <c r="U34" s="111">
        <v>0</v>
      </c>
      <c r="V34" s="111">
        <v>0</v>
      </c>
      <c r="W34" s="111">
        <v>0</v>
      </c>
      <c r="X34" s="111">
        <v>288.37829558943798</v>
      </c>
      <c r="Y34" s="111">
        <v>0</v>
      </c>
      <c r="Z34" s="111">
        <v>0</v>
      </c>
      <c r="AA34" s="111">
        <v>1156.85311995697</v>
      </c>
      <c r="AB34" s="111">
        <v>0</v>
      </c>
      <c r="AC34" s="111">
        <v>0</v>
      </c>
      <c r="AD34" s="111">
        <v>0</v>
      </c>
      <c r="AE34" s="111">
        <v>19.554319116970699</v>
      </c>
      <c r="AF34" s="111">
        <v>0</v>
      </c>
      <c r="AG34" s="111">
        <v>0</v>
      </c>
      <c r="AH34" s="111">
        <v>0</v>
      </c>
      <c r="AI34" s="111">
        <v>0</v>
      </c>
      <c r="AJ34" s="111">
        <v>0</v>
      </c>
      <c r="AK34" s="111">
        <v>0</v>
      </c>
      <c r="AL34" s="111">
        <v>0</v>
      </c>
      <c r="AM34" s="111">
        <v>0</v>
      </c>
      <c r="AN34" s="111">
        <v>112.779469747722</v>
      </c>
      <c r="AO34" s="111">
        <v>0</v>
      </c>
      <c r="AP34" s="111">
        <v>0</v>
      </c>
      <c r="AQ34" s="111">
        <v>0</v>
      </c>
      <c r="AR34" s="111">
        <v>0</v>
      </c>
      <c r="AS34" s="111">
        <v>0</v>
      </c>
      <c r="AT34" s="112">
        <v>0</v>
      </c>
    </row>
    <row r="35" spans="2:46" ht="12" customHeight="1" x14ac:dyDescent="0.3">
      <c r="B35" s="110" t="s">
        <v>42</v>
      </c>
      <c r="C35" s="111" t="s">
        <v>39</v>
      </c>
      <c r="D35" s="111" t="s">
        <v>43</v>
      </c>
      <c r="E35" s="111" t="s">
        <v>86</v>
      </c>
      <c r="F35" s="111" t="s">
        <v>25</v>
      </c>
      <c r="G35" s="111" t="s">
        <v>40</v>
      </c>
      <c r="H35" s="111" t="s">
        <v>69</v>
      </c>
      <c r="I35" s="111" t="s">
        <v>25</v>
      </c>
      <c r="J35" s="111">
        <v>984.11</v>
      </c>
      <c r="K35" s="111">
        <v>112.78</v>
      </c>
      <c r="L35" s="111">
        <v>0</v>
      </c>
      <c r="M35" s="111">
        <v>1.96904425082021</v>
      </c>
      <c r="N35" s="111">
        <v>0</v>
      </c>
      <c r="O35" s="111">
        <v>0</v>
      </c>
      <c r="P35" s="111">
        <v>0</v>
      </c>
      <c r="Q35" s="111">
        <v>82.4638294098432</v>
      </c>
      <c r="R35" s="111">
        <v>13.023293184989701</v>
      </c>
      <c r="S35" s="111">
        <v>0</v>
      </c>
      <c r="T35" s="111">
        <v>0</v>
      </c>
      <c r="U35" s="111">
        <v>0</v>
      </c>
      <c r="V35" s="111">
        <v>0</v>
      </c>
      <c r="W35" s="111">
        <v>0</v>
      </c>
      <c r="X35" s="111">
        <v>172.98251725446099</v>
      </c>
      <c r="Y35" s="111">
        <v>0</v>
      </c>
      <c r="Z35" s="111">
        <v>0</v>
      </c>
      <c r="AA35" s="111">
        <v>694.11217993034802</v>
      </c>
      <c r="AB35" s="111">
        <v>0</v>
      </c>
      <c r="AC35" s="111">
        <v>0</v>
      </c>
      <c r="AD35" s="111">
        <v>0</v>
      </c>
      <c r="AE35" s="111">
        <v>19.554319116970699</v>
      </c>
      <c r="AF35" s="111">
        <v>0</v>
      </c>
      <c r="AG35" s="111">
        <v>0</v>
      </c>
      <c r="AH35" s="111">
        <v>0</v>
      </c>
      <c r="AI35" s="111">
        <v>0</v>
      </c>
      <c r="AJ35" s="111">
        <v>0</v>
      </c>
      <c r="AK35" s="111">
        <v>0</v>
      </c>
      <c r="AL35" s="111">
        <v>0</v>
      </c>
      <c r="AM35" s="111">
        <v>0</v>
      </c>
      <c r="AN35" s="111">
        <v>112.779469747722</v>
      </c>
      <c r="AO35" s="111">
        <v>0</v>
      </c>
      <c r="AP35" s="111">
        <v>0</v>
      </c>
      <c r="AQ35" s="111">
        <v>0</v>
      </c>
      <c r="AR35" s="111">
        <v>0</v>
      </c>
      <c r="AS35" s="111">
        <v>0</v>
      </c>
      <c r="AT35" s="112">
        <v>0</v>
      </c>
    </row>
    <row r="36" spans="2:46" ht="12" customHeight="1" x14ac:dyDescent="0.3">
      <c r="B36" s="110" t="s">
        <v>42</v>
      </c>
      <c r="C36" s="111" t="s">
        <v>39</v>
      </c>
      <c r="D36" s="111" t="s">
        <v>43</v>
      </c>
      <c r="E36" s="111" t="s">
        <v>86</v>
      </c>
      <c r="F36" s="111" t="s">
        <v>25</v>
      </c>
      <c r="G36" s="111" t="s">
        <v>38</v>
      </c>
      <c r="H36" s="111" t="s">
        <v>69</v>
      </c>
      <c r="I36" s="111" t="s">
        <v>25</v>
      </c>
      <c r="J36" s="111">
        <v>406.08</v>
      </c>
      <c r="K36" s="111">
        <v>112.78</v>
      </c>
      <c r="L36" s="111">
        <v>0</v>
      </c>
      <c r="M36" s="111">
        <v>1.96904425082021</v>
      </c>
      <c r="N36" s="111">
        <v>0</v>
      </c>
      <c r="O36" s="111">
        <v>0</v>
      </c>
      <c r="P36" s="111">
        <v>0</v>
      </c>
      <c r="Q36" s="111">
        <v>82.4638294098432</v>
      </c>
      <c r="R36" s="111">
        <v>13.023293184989701</v>
      </c>
      <c r="S36" s="111">
        <v>0</v>
      </c>
      <c r="T36" s="111">
        <v>0</v>
      </c>
      <c r="U36" s="111">
        <v>0</v>
      </c>
      <c r="V36" s="111">
        <v>0</v>
      </c>
      <c r="W36" s="111">
        <v>0</v>
      </c>
      <c r="X36" s="111">
        <v>57.697934627712399</v>
      </c>
      <c r="Y36" s="111">
        <v>0</v>
      </c>
      <c r="Z36" s="111">
        <v>0</v>
      </c>
      <c r="AA36" s="111">
        <v>231.37047001331101</v>
      </c>
      <c r="AB36" s="111">
        <v>0</v>
      </c>
      <c r="AC36" s="111">
        <v>0</v>
      </c>
      <c r="AD36" s="111">
        <v>0</v>
      </c>
      <c r="AE36" s="111">
        <v>19.554319116970699</v>
      </c>
      <c r="AF36" s="111">
        <v>0</v>
      </c>
      <c r="AG36" s="111">
        <v>0</v>
      </c>
      <c r="AH36" s="111">
        <v>0</v>
      </c>
      <c r="AI36" s="111">
        <v>0</v>
      </c>
      <c r="AJ36" s="111">
        <v>0</v>
      </c>
      <c r="AK36" s="111">
        <v>0</v>
      </c>
      <c r="AL36" s="111">
        <v>0</v>
      </c>
      <c r="AM36" s="111">
        <v>0</v>
      </c>
      <c r="AN36" s="111">
        <v>112.779469747722</v>
      </c>
      <c r="AO36" s="111">
        <v>0</v>
      </c>
      <c r="AP36" s="111">
        <v>0</v>
      </c>
      <c r="AQ36" s="111">
        <v>0</v>
      </c>
      <c r="AR36" s="111">
        <v>0</v>
      </c>
      <c r="AS36" s="111">
        <v>0</v>
      </c>
      <c r="AT36" s="112">
        <v>0</v>
      </c>
    </row>
    <row r="37" spans="2:46" ht="12" customHeight="1" x14ac:dyDescent="0.3">
      <c r="B37" s="110" t="s">
        <v>42</v>
      </c>
      <c r="C37" s="111" t="s">
        <v>23</v>
      </c>
      <c r="D37" s="111" t="s">
        <v>43</v>
      </c>
      <c r="E37" s="111" t="s">
        <v>85</v>
      </c>
      <c r="F37" s="111" t="s">
        <v>25</v>
      </c>
      <c r="G37" s="111" t="s">
        <v>25</v>
      </c>
      <c r="H37" s="111" t="s">
        <v>69</v>
      </c>
      <c r="I37" s="111" t="s">
        <v>25</v>
      </c>
      <c r="J37" s="111">
        <v>620.13</v>
      </c>
      <c r="K37" s="111">
        <v>115.23</v>
      </c>
      <c r="L37" s="111">
        <v>0</v>
      </c>
      <c r="M37" s="111">
        <v>2.0118495606206501</v>
      </c>
      <c r="N37" s="111">
        <v>0</v>
      </c>
      <c r="O37" s="111">
        <v>0</v>
      </c>
      <c r="P37" s="111">
        <v>0</v>
      </c>
      <c r="Q37" s="111">
        <v>84.256521353535405</v>
      </c>
      <c r="R37" s="111">
        <v>13.3064082542286</v>
      </c>
      <c r="S37" s="111">
        <v>0</v>
      </c>
      <c r="T37" s="111">
        <v>0</v>
      </c>
      <c r="U37" s="111">
        <v>0</v>
      </c>
      <c r="V37" s="111">
        <v>0</v>
      </c>
      <c r="W37" s="111">
        <v>0</v>
      </c>
      <c r="X37" s="111">
        <v>99.900668845636503</v>
      </c>
      <c r="Y37" s="111">
        <v>0</v>
      </c>
      <c r="Z37" s="111">
        <v>0</v>
      </c>
      <c r="AA37" s="111">
        <v>400.67869291189601</v>
      </c>
      <c r="AB37" s="111">
        <v>0</v>
      </c>
      <c r="AC37" s="111">
        <v>0</v>
      </c>
      <c r="AD37" s="111">
        <v>0</v>
      </c>
      <c r="AE37" s="111">
        <v>19.9794130108179</v>
      </c>
      <c r="AF37" s="111">
        <v>0</v>
      </c>
      <c r="AG37" s="111">
        <v>0</v>
      </c>
      <c r="AH37" s="111">
        <v>0</v>
      </c>
      <c r="AI37" s="111">
        <v>0</v>
      </c>
      <c r="AJ37" s="111">
        <v>0</v>
      </c>
      <c r="AK37" s="111">
        <v>0</v>
      </c>
      <c r="AL37" s="111">
        <v>0</v>
      </c>
      <c r="AM37" s="111">
        <v>0</v>
      </c>
      <c r="AN37" s="111">
        <v>115.231197350933</v>
      </c>
      <c r="AO37" s="111">
        <v>0</v>
      </c>
      <c r="AP37" s="111">
        <v>0</v>
      </c>
      <c r="AQ37" s="111">
        <v>0</v>
      </c>
      <c r="AR37" s="111">
        <v>0</v>
      </c>
      <c r="AS37" s="111">
        <v>0</v>
      </c>
      <c r="AT37" s="112">
        <v>0</v>
      </c>
    </row>
    <row r="38" spans="2:46" ht="12" customHeight="1" x14ac:dyDescent="0.3">
      <c r="B38" s="110" t="s">
        <v>42</v>
      </c>
      <c r="C38" s="111" t="s">
        <v>23</v>
      </c>
      <c r="D38" s="111" t="s">
        <v>43</v>
      </c>
      <c r="E38" s="111" t="s">
        <v>25</v>
      </c>
      <c r="F38" s="111" t="s">
        <v>25</v>
      </c>
      <c r="G38" s="111" t="s">
        <v>25</v>
      </c>
      <c r="H38" s="111" t="s">
        <v>69</v>
      </c>
      <c r="I38" s="111" t="s">
        <v>25</v>
      </c>
      <c r="J38" s="111">
        <v>620.13</v>
      </c>
      <c r="K38" s="111">
        <v>115.23</v>
      </c>
      <c r="L38" s="111">
        <v>0</v>
      </c>
      <c r="M38" s="111">
        <v>2.0118495606206501</v>
      </c>
      <c r="N38" s="111">
        <v>0</v>
      </c>
      <c r="O38" s="111">
        <v>0</v>
      </c>
      <c r="P38" s="111">
        <v>0</v>
      </c>
      <c r="Q38" s="111">
        <v>84.256521353535405</v>
      </c>
      <c r="R38" s="111">
        <v>13.3064082542286</v>
      </c>
      <c r="S38" s="111">
        <v>0</v>
      </c>
      <c r="T38" s="111">
        <v>0</v>
      </c>
      <c r="U38" s="111">
        <v>0</v>
      </c>
      <c r="V38" s="111">
        <v>0</v>
      </c>
      <c r="W38" s="111">
        <v>0</v>
      </c>
      <c r="X38" s="111">
        <v>99.900668845636503</v>
      </c>
      <c r="Y38" s="111">
        <v>0</v>
      </c>
      <c r="Z38" s="111">
        <v>0</v>
      </c>
      <c r="AA38" s="111">
        <v>400.67869291189601</v>
      </c>
      <c r="AB38" s="111">
        <v>0</v>
      </c>
      <c r="AC38" s="111">
        <v>0</v>
      </c>
      <c r="AD38" s="111">
        <v>0</v>
      </c>
      <c r="AE38" s="111">
        <v>19.9794130108179</v>
      </c>
      <c r="AF38" s="111">
        <v>0</v>
      </c>
      <c r="AG38" s="111">
        <v>0</v>
      </c>
      <c r="AH38" s="111">
        <v>0</v>
      </c>
      <c r="AI38" s="111">
        <v>0</v>
      </c>
      <c r="AJ38" s="111">
        <v>0</v>
      </c>
      <c r="AK38" s="111">
        <v>0</v>
      </c>
      <c r="AL38" s="111">
        <v>0</v>
      </c>
      <c r="AM38" s="111">
        <v>0</v>
      </c>
      <c r="AN38" s="111">
        <v>115.231197350933</v>
      </c>
      <c r="AO38" s="111">
        <v>0</v>
      </c>
      <c r="AP38" s="111">
        <v>0</v>
      </c>
      <c r="AQ38" s="111">
        <v>0</v>
      </c>
      <c r="AR38" s="111">
        <v>0</v>
      </c>
      <c r="AS38" s="111">
        <v>0</v>
      </c>
      <c r="AT38" s="112">
        <v>0</v>
      </c>
    </row>
    <row r="39" spans="2:46" ht="12" customHeight="1" x14ac:dyDescent="0.3">
      <c r="B39" s="110" t="s">
        <v>42</v>
      </c>
      <c r="C39" s="111" t="s">
        <v>23</v>
      </c>
      <c r="D39" s="111" t="s">
        <v>43</v>
      </c>
      <c r="E39" s="111" t="s">
        <v>86</v>
      </c>
      <c r="F39" s="111" t="s">
        <v>25</v>
      </c>
      <c r="G39" s="111" t="s">
        <v>25</v>
      </c>
      <c r="H39" s="111" t="s">
        <v>69</v>
      </c>
      <c r="I39" s="111" t="s">
        <v>25</v>
      </c>
      <c r="J39" s="111">
        <v>606.94000000000005</v>
      </c>
      <c r="K39" s="111">
        <v>112.78</v>
      </c>
      <c r="L39" s="111">
        <v>0</v>
      </c>
      <c r="M39" s="111">
        <v>1.96904425082021</v>
      </c>
      <c r="N39" s="111">
        <v>0</v>
      </c>
      <c r="O39" s="111">
        <v>0</v>
      </c>
      <c r="P39" s="111">
        <v>0</v>
      </c>
      <c r="Q39" s="111">
        <v>82.4638294098432</v>
      </c>
      <c r="R39" s="111">
        <v>13.023293184989701</v>
      </c>
      <c r="S39" s="111">
        <v>0</v>
      </c>
      <c r="T39" s="111">
        <v>0</v>
      </c>
      <c r="U39" s="111">
        <v>0</v>
      </c>
      <c r="V39" s="111">
        <v>0</v>
      </c>
      <c r="W39" s="111">
        <v>0</v>
      </c>
      <c r="X39" s="111">
        <v>97.775122699984607</v>
      </c>
      <c r="Y39" s="111">
        <v>0</v>
      </c>
      <c r="Z39" s="111">
        <v>0</v>
      </c>
      <c r="AA39" s="111">
        <v>392.15361433930298</v>
      </c>
      <c r="AB39" s="111">
        <v>0</v>
      </c>
      <c r="AC39" s="111">
        <v>0</v>
      </c>
      <c r="AD39" s="111">
        <v>0</v>
      </c>
      <c r="AE39" s="111">
        <v>19.554319116970699</v>
      </c>
      <c r="AF39" s="111">
        <v>0</v>
      </c>
      <c r="AG39" s="111">
        <v>0</v>
      </c>
      <c r="AH39" s="111">
        <v>0</v>
      </c>
      <c r="AI39" s="111">
        <v>0</v>
      </c>
      <c r="AJ39" s="111">
        <v>0</v>
      </c>
      <c r="AK39" s="111">
        <v>0</v>
      </c>
      <c r="AL39" s="111">
        <v>0</v>
      </c>
      <c r="AM39" s="111">
        <v>0</v>
      </c>
      <c r="AN39" s="111">
        <v>112.779469747722</v>
      </c>
      <c r="AO39" s="111">
        <v>0</v>
      </c>
      <c r="AP39" s="111">
        <v>0</v>
      </c>
      <c r="AQ39" s="111">
        <v>0</v>
      </c>
      <c r="AR39" s="111">
        <v>0</v>
      </c>
      <c r="AS39" s="111">
        <v>0</v>
      </c>
      <c r="AT39" s="112">
        <v>0</v>
      </c>
    </row>
    <row r="40" spans="2:46" ht="12" customHeight="1" x14ac:dyDescent="0.3">
      <c r="B40" s="110" t="s">
        <v>42</v>
      </c>
      <c r="C40" s="111" t="s">
        <v>84</v>
      </c>
      <c r="D40" s="111" t="s">
        <v>43</v>
      </c>
      <c r="E40" s="111" t="s">
        <v>85</v>
      </c>
      <c r="F40" s="111" t="s">
        <v>25</v>
      </c>
      <c r="G40" s="111" t="s">
        <v>25</v>
      </c>
      <c r="H40" s="111" t="s">
        <v>69</v>
      </c>
      <c r="I40" s="111" t="s">
        <v>25</v>
      </c>
      <c r="J40" s="111">
        <v>620.13</v>
      </c>
      <c r="K40" s="111">
        <v>115.23</v>
      </c>
      <c r="L40" s="111">
        <v>0</v>
      </c>
      <c r="M40" s="111">
        <v>2.0118495606206501</v>
      </c>
      <c r="N40" s="111">
        <v>0</v>
      </c>
      <c r="O40" s="111">
        <v>0</v>
      </c>
      <c r="P40" s="111">
        <v>0</v>
      </c>
      <c r="Q40" s="111">
        <v>84.256521353535405</v>
      </c>
      <c r="R40" s="111">
        <v>13.3064082542286</v>
      </c>
      <c r="S40" s="111">
        <v>0</v>
      </c>
      <c r="T40" s="111">
        <v>0</v>
      </c>
      <c r="U40" s="111">
        <v>0</v>
      </c>
      <c r="V40" s="111">
        <v>0</v>
      </c>
      <c r="W40" s="111">
        <v>0</v>
      </c>
      <c r="X40" s="111">
        <v>99.900668845636503</v>
      </c>
      <c r="Y40" s="111">
        <v>0</v>
      </c>
      <c r="Z40" s="111">
        <v>0</v>
      </c>
      <c r="AA40" s="111">
        <v>400.67869291189601</v>
      </c>
      <c r="AB40" s="111">
        <v>0</v>
      </c>
      <c r="AC40" s="111">
        <v>0</v>
      </c>
      <c r="AD40" s="111">
        <v>0</v>
      </c>
      <c r="AE40" s="111">
        <v>19.9794130108179</v>
      </c>
      <c r="AF40" s="111">
        <v>0</v>
      </c>
      <c r="AG40" s="111">
        <v>0</v>
      </c>
      <c r="AH40" s="111">
        <v>0</v>
      </c>
      <c r="AI40" s="111">
        <v>0</v>
      </c>
      <c r="AJ40" s="111">
        <v>0</v>
      </c>
      <c r="AK40" s="111">
        <v>0</v>
      </c>
      <c r="AL40" s="111">
        <v>0</v>
      </c>
      <c r="AM40" s="111">
        <v>0</v>
      </c>
      <c r="AN40" s="111">
        <v>115.231197350933</v>
      </c>
      <c r="AO40" s="111">
        <v>0</v>
      </c>
      <c r="AP40" s="111">
        <v>0</v>
      </c>
      <c r="AQ40" s="111">
        <v>0</v>
      </c>
      <c r="AR40" s="111">
        <v>0</v>
      </c>
      <c r="AS40" s="111">
        <v>0</v>
      </c>
      <c r="AT40" s="112">
        <v>0</v>
      </c>
    </row>
    <row r="41" spans="2:46" ht="12" customHeight="1" x14ac:dyDescent="0.3">
      <c r="B41" s="110" t="s">
        <v>42</v>
      </c>
      <c r="C41" s="111" t="s">
        <v>84</v>
      </c>
      <c r="D41" s="111" t="s">
        <v>43</v>
      </c>
      <c r="E41" s="111" t="s">
        <v>25</v>
      </c>
      <c r="F41" s="111" t="s">
        <v>25</v>
      </c>
      <c r="G41" s="111" t="s">
        <v>25</v>
      </c>
      <c r="H41" s="111" t="s">
        <v>69</v>
      </c>
      <c r="I41" s="111" t="s">
        <v>25</v>
      </c>
      <c r="J41" s="111">
        <v>620.13</v>
      </c>
      <c r="K41" s="111">
        <v>115.23</v>
      </c>
      <c r="L41" s="111">
        <v>0</v>
      </c>
      <c r="M41" s="111">
        <v>2.0118495606206501</v>
      </c>
      <c r="N41" s="111">
        <v>0</v>
      </c>
      <c r="O41" s="111">
        <v>0</v>
      </c>
      <c r="P41" s="111">
        <v>0</v>
      </c>
      <c r="Q41" s="111">
        <v>84.256521353535405</v>
      </c>
      <c r="R41" s="111">
        <v>13.3064082542286</v>
      </c>
      <c r="S41" s="111">
        <v>0</v>
      </c>
      <c r="T41" s="111">
        <v>0</v>
      </c>
      <c r="U41" s="111">
        <v>0</v>
      </c>
      <c r="V41" s="111">
        <v>0</v>
      </c>
      <c r="W41" s="111">
        <v>0</v>
      </c>
      <c r="X41" s="111">
        <v>99.900668845636503</v>
      </c>
      <c r="Y41" s="111">
        <v>0</v>
      </c>
      <c r="Z41" s="111">
        <v>0</v>
      </c>
      <c r="AA41" s="111">
        <v>400.67869291189601</v>
      </c>
      <c r="AB41" s="111">
        <v>0</v>
      </c>
      <c r="AC41" s="111">
        <v>0</v>
      </c>
      <c r="AD41" s="111">
        <v>0</v>
      </c>
      <c r="AE41" s="111">
        <v>19.9794130108179</v>
      </c>
      <c r="AF41" s="111">
        <v>0</v>
      </c>
      <c r="AG41" s="111">
        <v>0</v>
      </c>
      <c r="AH41" s="111">
        <v>0</v>
      </c>
      <c r="AI41" s="111">
        <v>0</v>
      </c>
      <c r="AJ41" s="111">
        <v>0</v>
      </c>
      <c r="AK41" s="111">
        <v>0</v>
      </c>
      <c r="AL41" s="111">
        <v>0</v>
      </c>
      <c r="AM41" s="111">
        <v>0</v>
      </c>
      <c r="AN41" s="111">
        <v>115.231197350933</v>
      </c>
      <c r="AO41" s="111">
        <v>0</v>
      </c>
      <c r="AP41" s="111">
        <v>0</v>
      </c>
      <c r="AQ41" s="111">
        <v>0</v>
      </c>
      <c r="AR41" s="111">
        <v>0</v>
      </c>
      <c r="AS41" s="111">
        <v>0</v>
      </c>
      <c r="AT41" s="112">
        <v>0</v>
      </c>
    </row>
    <row r="42" spans="2:46" ht="12" customHeight="1" x14ac:dyDescent="0.3">
      <c r="B42" s="110" t="s">
        <v>42</v>
      </c>
      <c r="C42" s="111" t="s">
        <v>84</v>
      </c>
      <c r="D42" s="111" t="s">
        <v>43</v>
      </c>
      <c r="E42" s="111" t="s">
        <v>86</v>
      </c>
      <c r="F42" s="111" t="s">
        <v>25</v>
      </c>
      <c r="G42" s="111" t="s">
        <v>25</v>
      </c>
      <c r="H42" s="111" t="s">
        <v>69</v>
      </c>
      <c r="I42" s="111" t="s">
        <v>25</v>
      </c>
      <c r="J42" s="111">
        <v>606.94000000000005</v>
      </c>
      <c r="K42" s="111">
        <v>112.78</v>
      </c>
      <c r="L42" s="111">
        <v>0</v>
      </c>
      <c r="M42" s="111">
        <v>1.96904425082021</v>
      </c>
      <c r="N42" s="111">
        <v>0</v>
      </c>
      <c r="O42" s="111">
        <v>0</v>
      </c>
      <c r="P42" s="111">
        <v>0</v>
      </c>
      <c r="Q42" s="111">
        <v>82.4638294098432</v>
      </c>
      <c r="R42" s="111">
        <v>13.023293184989701</v>
      </c>
      <c r="S42" s="111">
        <v>0</v>
      </c>
      <c r="T42" s="111">
        <v>0</v>
      </c>
      <c r="U42" s="111">
        <v>0</v>
      </c>
      <c r="V42" s="111">
        <v>0</v>
      </c>
      <c r="W42" s="111">
        <v>0</v>
      </c>
      <c r="X42" s="111">
        <v>97.775122699984607</v>
      </c>
      <c r="Y42" s="111">
        <v>0</v>
      </c>
      <c r="Z42" s="111">
        <v>0</v>
      </c>
      <c r="AA42" s="111">
        <v>392.15361433930298</v>
      </c>
      <c r="AB42" s="111">
        <v>0</v>
      </c>
      <c r="AC42" s="111">
        <v>0</v>
      </c>
      <c r="AD42" s="111">
        <v>0</v>
      </c>
      <c r="AE42" s="111">
        <v>19.554319116970699</v>
      </c>
      <c r="AF42" s="111">
        <v>0</v>
      </c>
      <c r="AG42" s="111">
        <v>0</v>
      </c>
      <c r="AH42" s="111">
        <v>0</v>
      </c>
      <c r="AI42" s="111">
        <v>0</v>
      </c>
      <c r="AJ42" s="111">
        <v>0</v>
      </c>
      <c r="AK42" s="111">
        <v>0</v>
      </c>
      <c r="AL42" s="111">
        <v>0</v>
      </c>
      <c r="AM42" s="111">
        <v>0</v>
      </c>
      <c r="AN42" s="111">
        <v>112.779469747722</v>
      </c>
      <c r="AO42" s="111">
        <v>0</v>
      </c>
      <c r="AP42" s="111">
        <v>0</v>
      </c>
      <c r="AQ42" s="111">
        <v>0</v>
      </c>
      <c r="AR42" s="111">
        <v>0</v>
      </c>
      <c r="AS42" s="111">
        <v>0</v>
      </c>
      <c r="AT42" s="112">
        <v>0</v>
      </c>
    </row>
    <row r="43" spans="2:46" ht="12" customHeight="1" x14ac:dyDescent="0.3">
      <c r="B43" s="110" t="s">
        <v>33</v>
      </c>
      <c r="C43" s="111" t="s">
        <v>39</v>
      </c>
      <c r="D43" s="111" t="s">
        <v>25</v>
      </c>
      <c r="E43" s="111" t="s">
        <v>25</v>
      </c>
      <c r="F43" s="111" t="s">
        <v>25</v>
      </c>
      <c r="G43" s="111" t="s">
        <v>37</v>
      </c>
      <c r="H43" s="111" t="s">
        <v>69</v>
      </c>
      <c r="I43" s="111" t="s">
        <v>25</v>
      </c>
      <c r="J43" s="111">
        <v>1937.76</v>
      </c>
      <c r="K43" s="111">
        <v>122.59</v>
      </c>
      <c r="L43" s="111">
        <v>0</v>
      </c>
      <c r="M43" s="111">
        <v>2.1402654900219602</v>
      </c>
      <c r="N43" s="111">
        <v>0</v>
      </c>
      <c r="O43" s="111">
        <v>0</v>
      </c>
      <c r="P43" s="111">
        <v>0</v>
      </c>
      <c r="Q43" s="111">
        <v>89.634597184612105</v>
      </c>
      <c r="R43" s="111">
        <v>14.1557534619453</v>
      </c>
      <c r="S43" s="111">
        <v>0</v>
      </c>
      <c r="T43" s="111">
        <v>0</v>
      </c>
      <c r="U43" s="111">
        <v>0</v>
      </c>
      <c r="V43" s="111">
        <v>0</v>
      </c>
      <c r="W43" s="111">
        <v>0</v>
      </c>
      <c r="X43" s="111">
        <v>361.30659517339598</v>
      </c>
      <c r="Y43" s="111">
        <v>0</v>
      </c>
      <c r="Z43" s="111">
        <v>0</v>
      </c>
      <c r="AA43" s="111">
        <v>1449.26330713066</v>
      </c>
      <c r="AB43" s="111">
        <v>0</v>
      </c>
      <c r="AC43" s="111">
        <v>0</v>
      </c>
      <c r="AD43" s="111">
        <v>0</v>
      </c>
      <c r="AE43" s="111">
        <v>21.2546946923595</v>
      </c>
      <c r="AF43" s="111">
        <v>0</v>
      </c>
      <c r="AG43" s="111">
        <v>0</v>
      </c>
      <c r="AH43" s="111">
        <v>0</v>
      </c>
      <c r="AI43" s="111">
        <v>0</v>
      </c>
      <c r="AJ43" s="111">
        <v>0</v>
      </c>
      <c r="AK43" s="111">
        <v>0</v>
      </c>
      <c r="AL43" s="111">
        <v>0</v>
      </c>
      <c r="AM43" s="111">
        <v>0</v>
      </c>
      <c r="AN43" s="111">
        <v>122.586380160567</v>
      </c>
      <c r="AO43" s="111">
        <v>0</v>
      </c>
      <c r="AP43" s="111">
        <v>0</v>
      </c>
      <c r="AQ43" s="111">
        <v>0</v>
      </c>
      <c r="AR43" s="111">
        <v>0</v>
      </c>
      <c r="AS43" s="111">
        <v>0</v>
      </c>
      <c r="AT43" s="112">
        <v>0</v>
      </c>
    </row>
    <row r="44" spans="2:46" ht="12" customHeight="1" x14ac:dyDescent="0.3">
      <c r="B44" s="110" t="s">
        <v>33</v>
      </c>
      <c r="C44" s="111" t="s">
        <v>39</v>
      </c>
      <c r="D44" s="111" t="s">
        <v>25</v>
      </c>
      <c r="E44" s="111" t="s">
        <v>25</v>
      </c>
      <c r="F44" s="111" t="s">
        <v>25</v>
      </c>
      <c r="G44" s="111" t="s">
        <v>40</v>
      </c>
      <c r="H44" s="111" t="s">
        <v>69</v>
      </c>
      <c r="I44" s="111" t="s">
        <v>25</v>
      </c>
      <c r="J44" s="111">
        <v>1213.47</v>
      </c>
      <c r="K44" s="111">
        <v>122.59</v>
      </c>
      <c r="L44" s="111">
        <v>0</v>
      </c>
      <c r="M44" s="111">
        <v>2.1402654900219602</v>
      </c>
      <c r="N44" s="111">
        <v>0</v>
      </c>
      <c r="O44" s="111">
        <v>0</v>
      </c>
      <c r="P44" s="111">
        <v>0</v>
      </c>
      <c r="Q44" s="111">
        <v>89.634597184612105</v>
      </c>
      <c r="R44" s="111">
        <v>14.1557534619453</v>
      </c>
      <c r="S44" s="111">
        <v>0</v>
      </c>
      <c r="T44" s="111">
        <v>0</v>
      </c>
      <c r="U44" s="111">
        <v>0</v>
      </c>
      <c r="V44" s="111">
        <v>0</v>
      </c>
      <c r="W44" s="111">
        <v>0</v>
      </c>
      <c r="X44" s="111">
        <v>216.72351477125699</v>
      </c>
      <c r="Y44" s="111">
        <v>0</v>
      </c>
      <c r="Z44" s="111">
        <v>0</v>
      </c>
      <c r="AA44" s="111">
        <v>869.557917331402</v>
      </c>
      <c r="AB44" s="111">
        <v>0</v>
      </c>
      <c r="AC44" s="111">
        <v>0</v>
      </c>
      <c r="AD44" s="111">
        <v>0</v>
      </c>
      <c r="AE44" s="111">
        <v>21.2546946923595</v>
      </c>
      <c r="AF44" s="111">
        <v>0</v>
      </c>
      <c r="AG44" s="111">
        <v>0</v>
      </c>
      <c r="AH44" s="111">
        <v>0</v>
      </c>
      <c r="AI44" s="111">
        <v>0</v>
      </c>
      <c r="AJ44" s="111">
        <v>0</v>
      </c>
      <c r="AK44" s="111">
        <v>0</v>
      </c>
      <c r="AL44" s="111">
        <v>0</v>
      </c>
      <c r="AM44" s="111">
        <v>0</v>
      </c>
      <c r="AN44" s="111">
        <v>122.586380160567</v>
      </c>
      <c r="AO44" s="111">
        <v>0</v>
      </c>
      <c r="AP44" s="111">
        <v>0</v>
      </c>
      <c r="AQ44" s="111">
        <v>0</v>
      </c>
      <c r="AR44" s="111">
        <v>0</v>
      </c>
      <c r="AS44" s="111">
        <v>0</v>
      </c>
      <c r="AT44" s="112">
        <v>0</v>
      </c>
    </row>
    <row r="45" spans="2:46" ht="12" customHeight="1" x14ac:dyDescent="0.3">
      <c r="B45" s="110" t="s">
        <v>33</v>
      </c>
      <c r="C45" s="111" t="s">
        <v>39</v>
      </c>
      <c r="D45" s="111" t="s">
        <v>25</v>
      </c>
      <c r="E45" s="111" t="s">
        <v>25</v>
      </c>
      <c r="F45" s="111" t="s">
        <v>25</v>
      </c>
      <c r="G45" s="111" t="s">
        <v>38</v>
      </c>
      <c r="H45" s="111" t="s">
        <v>69</v>
      </c>
      <c r="I45" s="111" t="s">
        <v>25</v>
      </c>
      <c r="J45" s="111">
        <v>489.3</v>
      </c>
      <c r="K45" s="111">
        <v>122.59</v>
      </c>
      <c r="L45" s="111">
        <v>0</v>
      </c>
      <c r="M45" s="111">
        <v>2.1402654900219602</v>
      </c>
      <c r="N45" s="111">
        <v>0</v>
      </c>
      <c r="O45" s="111">
        <v>0</v>
      </c>
      <c r="P45" s="111">
        <v>0</v>
      </c>
      <c r="Q45" s="111">
        <v>89.634597184612105</v>
      </c>
      <c r="R45" s="111">
        <v>14.1557534619453</v>
      </c>
      <c r="S45" s="111">
        <v>0</v>
      </c>
      <c r="T45" s="111">
        <v>0</v>
      </c>
      <c r="U45" s="111">
        <v>0</v>
      </c>
      <c r="V45" s="111">
        <v>0</v>
      </c>
      <c r="W45" s="111">
        <v>0</v>
      </c>
      <c r="X45" s="111">
        <v>72.2612992693644</v>
      </c>
      <c r="Y45" s="111">
        <v>0</v>
      </c>
      <c r="Z45" s="111">
        <v>0</v>
      </c>
      <c r="AA45" s="111">
        <v>289.85294595085003</v>
      </c>
      <c r="AB45" s="111">
        <v>0</v>
      </c>
      <c r="AC45" s="111">
        <v>0</v>
      </c>
      <c r="AD45" s="111">
        <v>0</v>
      </c>
      <c r="AE45" s="111">
        <v>21.2546946923595</v>
      </c>
      <c r="AF45" s="111">
        <v>0</v>
      </c>
      <c r="AG45" s="111">
        <v>0</v>
      </c>
      <c r="AH45" s="111">
        <v>0</v>
      </c>
      <c r="AI45" s="111">
        <v>0</v>
      </c>
      <c r="AJ45" s="111">
        <v>0</v>
      </c>
      <c r="AK45" s="111">
        <v>0</v>
      </c>
      <c r="AL45" s="111">
        <v>0</v>
      </c>
      <c r="AM45" s="111">
        <v>0</v>
      </c>
      <c r="AN45" s="111">
        <v>122.586380160567</v>
      </c>
      <c r="AO45" s="111">
        <v>0</v>
      </c>
      <c r="AP45" s="111">
        <v>0</v>
      </c>
      <c r="AQ45" s="111">
        <v>0</v>
      </c>
      <c r="AR45" s="111">
        <v>0</v>
      </c>
      <c r="AS45" s="111">
        <v>0</v>
      </c>
      <c r="AT45" s="112">
        <v>0</v>
      </c>
    </row>
    <row r="46" spans="2:46" ht="12" customHeight="1" x14ac:dyDescent="0.3">
      <c r="B46" s="110" t="s">
        <v>33</v>
      </c>
      <c r="C46" s="111" t="s">
        <v>23</v>
      </c>
      <c r="D46" s="111" t="s">
        <v>25</v>
      </c>
      <c r="E46" s="111" t="s">
        <v>25</v>
      </c>
      <c r="F46" s="111" t="s">
        <v>25</v>
      </c>
      <c r="G46" s="111" t="s">
        <v>25</v>
      </c>
      <c r="H46" s="111" t="s">
        <v>69</v>
      </c>
      <c r="I46" s="111" t="s">
        <v>25</v>
      </c>
      <c r="J46" s="111">
        <v>659.72</v>
      </c>
      <c r="K46" s="111">
        <v>122.59</v>
      </c>
      <c r="L46" s="111">
        <v>0</v>
      </c>
      <c r="M46" s="111">
        <v>2.1402654900219602</v>
      </c>
      <c r="N46" s="111">
        <v>0</v>
      </c>
      <c r="O46" s="111">
        <v>0</v>
      </c>
      <c r="P46" s="111">
        <v>0</v>
      </c>
      <c r="Q46" s="111">
        <v>89.634597184612105</v>
      </c>
      <c r="R46" s="111">
        <v>14.1557534619453</v>
      </c>
      <c r="S46" s="111">
        <v>0</v>
      </c>
      <c r="T46" s="111">
        <v>0</v>
      </c>
      <c r="U46" s="111">
        <v>0</v>
      </c>
      <c r="V46" s="111">
        <v>0</v>
      </c>
      <c r="W46" s="111">
        <v>0</v>
      </c>
      <c r="X46" s="111">
        <v>106.27730728259201</v>
      </c>
      <c r="Y46" s="111">
        <v>0</v>
      </c>
      <c r="Z46" s="111">
        <v>0</v>
      </c>
      <c r="AA46" s="111">
        <v>426.25392862967698</v>
      </c>
      <c r="AB46" s="111">
        <v>0</v>
      </c>
      <c r="AC46" s="111">
        <v>0</v>
      </c>
      <c r="AD46" s="111">
        <v>0</v>
      </c>
      <c r="AE46" s="111">
        <v>21.2546946923595</v>
      </c>
      <c r="AF46" s="111">
        <v>0</v>
      </c>
      <c r="AG46" s="111">
        <v>0</v>
      </c>
      <c r="AH46" s="111">
        <v>0</v>
      </c>
      <c r="AI46" s="111">
        <v>0</v>
      </c>
      <c r="AJ46" s="111">
        <v>0</v>
      </c>
      <c r="AK46" s="111">
        <v>0</v>
      </c>
      <c r="AL46" s="111">
        <v>0</v>
      </c>
      <c r="AM46" s="111">
        <v>0</v>
      </c>
      <c r="AN46" s="111">
        <v>122.586380160567</v>
      </c>
      <c r="AO46" s="111">
        <v>0</v>
      </c>
      <c r="AP46" s="111">
        <v>0</v>
      </c>
      <c r="AQ46" s="111">
        <v>0</v>
      </c>
      <c r="AR46" s="111">
        <v>0</v>
      </c>
      <c r="AS46" s="111">
        <v>0</v>
      </c>
      <c r="AT46" s="112">
        <v>0</v>
      </c>
    </row>
    <row r="47" spans="2:46" ht="12" customHeight="1" x14ac:dyDescent="0.3">
      <c r="B47" s="110" t="s">
        <v>33</v>
      </c>
      <c r="C47" s="111" t="s">
        <v>84</v>
      </c>
      <c r="D47" s="111" t="s">
        <v>25</v>
      </c>
      <c r="E47" s="111" t="s">
        <v>25</v>
      </c>
      <c r="F47" s="111" t="s">
        <v>25</v>
      </c>
      <c r="G47" s="111" t="s">
        <v>25</v>
      </c>
      <c r="H47" s="111" t="s">
        <v>69</v>
      </c>
      <c r="I47" s="111" t="s">
        <v>25</v>
      </c>
      <c r="J47" s="111">
        <v>659.72</v>
      </c>
      <c r="K47" s="111">
        <v>122.59</v>
      </c>
      <c r="L47" s="111">
        <v>0</v>
      </c>
      <c r="M47" s="111">
        <v>2.1402654900219602</v>
      </c>
      <c r="N47" s="111">
        <v>0</v>
      </c>
      <c r="O47" s="111">
        <v>0</v>
      </c>
      <c r="P47" s="111">
        <v>0</v>
      </c>
      <c r="Q47" s="111">
        <v>89.634597184612105</v>
      </c>
      <c r="R47" s="111">
        <v>14.1557534619453</v>
      </c>
      <c r="S47" s="111">
        <v>0</v>
      </c>
      <c r="T47" s="111">
        <v>0</v>
      </c>
      <c r="U47" s="111">
        <v>0</v>
      </c>
      <c r="V47" s="111">
        <v>0</v>
      </c>
      <c r="W47" s="111">
        <v>0</v>
      </c>
      <c r="X47" s="111">
        <v>106.27730728259201</v>
      </c>
      <c r="Y47" s="111">
        <v>0</v>
      </c>
      <c r="Z47" s="111">
        <v>0</v>
      </c>
      <c r="AA47" s="111">
        <v>426.25392862967698</v>
      </c>
      <c r="AB47" s="111">
        <v>0</v>
      </c>
      <c r="AC47" s="111">
        <v>0</v>
      </c>
      <c r="AD47" s="111">
        <v>0</v>
      </c>
      <c r="AE47" s="111">
        <v>21.2546946923595</v>
      </c>
      <c r="AF47" s="111">
        <v>0</v>
      </c>
      <c r="AG47" s="111">
        <v>0</v>
      </c>
      <c r="AH47" s="111">
        <v>0</v>
      </c>
      <c r="AI47" s="111">
        <v>0</v>
      </c>
      <c r="AJ47" s="111">
        <v>0</v>
      </c>
      <c r="AK47" s="111">
        <v>0</v>
      </c>
      <c r="AL47" s="111">
        <v>0</v>
      </c>
      <c r="AM47" s="111">
        <v>0</v>
      </c>
      <c r="AN47" s="111">
        <v>122.586380160567</v>
      </c>
      <c r="AO47" s="111">
        <v>0</v>
      </c>
      <c r="AP47" s="111">
        <v>0</v>
      </c>
      <c r="AQ47" s="111">
        <v>0</v>
      </c>
      <c r="AR47" s="111">
        <v>0</v>
      </c>
      <c r="AS47" s="111">
        <v>0</v>
      </c>
      <c r="AT47" s="112">
        <v>0</v>
      </c>
    </row>
    <row r="48" spans="2:46" ht="12" customHeight="1" x14ac:dyDescent="0.3">
      <c r="B48" s="110" t="s">
        <v>45</v>
      </c>
      <c r="C48" s="111" t="s">
        <v>23</v>
      </c>
      <c r="D48" s="111" t="s">
        <v>46</v>
      </c>
      <c r="E48" s="111" t="s">
        <v>47</v>
      </c>
      <c r="F48" s="111" t="s">
        <v>25</v>
      </c>
      <c r="G48" s="111" t="s">
        <v>25</v>
      </c>
      <c r="H48" s="111" t="s">
        <v>69</v>
      </c>
      <c r="I48" s="111" t="s">
        <v>25</v>
      </c>
      <c r="J48" s="111">
        <v>362.84</v>
      </c>
      <c r="K48" s="111">
        <v>67.42</v>
      </c>
      <c r="L48" s="111">
        <v>0</v>
      </c>
      <c r="M48" s="111">
        <v>1.17714601951208</v>
      </c>
      <c r="N48" s="111">
        <v>0</v>
      </c>
      <c r="O48" s="111">
        <v>0</v>
      </c>
      <c r="P48" s="111">
        <v>0</v>
      </c>
      <c r="Q48" s="111">
        <v>49.299028451536699</v>
      </c>
      <c r="R48" s="111">
        <v>7.7856644040699203</v>
      </c>
      <c r="S48" s="111">
        <v>0</v>
      </c>
      <c r="T48" s="111">
        <v>0</v>
      </c>
      <c r="U48" s="111">
        <v>0</v>
      </c>
      <c r="V48" s="111">
        <v>0</v>
      </c>
      <c r="W48" s="111">
        <v>0</v>
      </c>
      <c r="X48" s="111">
        <v>58.4525190054256</v>
      </c>
      <c r="Y48" s="111">
        <v>0</v>
      </c>
      <c r="Z48" s="111">
        <v>0</v>
      </c>
      <c r="AA48" s="111">
        <v>234.43966074632201</v>
      </c>
      <c r="AB48" s="111">
        <v>0</v>
      </c>
      <c r="AC48" s="111">
        <v>0</v>
      </c>
      <c r="AD48" s="111">
        <v>0</v>
      </c>
      <c r="AE48" s="111">
        <v>11.6900820807977</v>
      </c>
      <c r="AF48" s="111">
        <v>0</v>
      </c>
      <c r="AG48" s="111">
        <v>0</v>
      </c>
      <c r="AH48" s="111">
        <v>0</v>
      </c>
      <c r="AI48" s="111">
        <v>0</v>
      </c>
      <c r="AJ48" s="111">
        <v>0</v>
      </c>
      <c r="AK48" s="111">
        <v>0</v>
      </c>
      <c r="AL48" s="111">
        <v>0</v>
      </c>
      <c r="AM48" s="111">
        <v>0</v>
      </c>
      <c r="AN48" s="111">
        <v>67.422509088311998</v>
      </c>
      <c r="AO48" s="111">
        <v>0</v>
      </c>
      <c r="AP48" s="111">
        <v>0</v>
      </c>
      <c r="AQ48" s="111">
        <v>0</v>
      </c>
      <c r="AR48" s="111">
        <v>0</v>
      </c>
      <c r="AS48" s="111">
        <v>0</v>
      </c>
      <c r="AT48" s="112">
        <v>0</v>
      </c>
    </row>
    <row r="49" spans="2:46" ht="12" customHeight="1" x14ac:dyDescent="0.3">
      <c r="B49" s="113" t="s">
        <v>45</v>
      </c>
      <c r="C49" s="114" t="s">
        <v>23</v>
      </c>
      <c r="D49" s="114" t="s">
        <v>46</v>
      </c>
      <c r="E49" s="114" t="s">
        <v>87</v>
      </c>
      <c r="F49" s="114" t="s">
        <v>25</v>
      </c>
      <c r="G49" s="114" t="s">
        <v>25</v>
      </c>
      <c r="H49" s="114" t="s">
        <v>69</v>
      </c>
      <c r="I49" s="114" t="s">
        <v>25</v>
      </c>
      <c r="J49" s="114">
        <v>395.83</v>
      </c>
      <c r="K49" s="114">
        <v>73.55</v>
      </c>
      <c r="L49" s="114">
        <v>0</v>
      </c>
      <c r="M49" s="114">
        <v>1.2841592940131801</v>
      </c>
      <c r="N49" s="114">
        <v>0</v>
      </c>
      <c r="O49" s="114">
        <v>0</v>
      </c>
      <c r="P49" s="114">
        <v>0</v>
      </c>
      <c r="Q49" s="114">
        <v>53.780758310767297</v>
      </c>
      <c r="R49" s="114">
        <v>8.4934520771671806</v>
      </c>
      <c r="S49" s="114">
        <v>0</v>
      </c>
      <c r="T49" s="114">
        <v>0</v>
      </c>
      <c r="U49" s="114">
        <v>0</v>
      </c>
      <c r="V49" s="114">
        <v>0</v>
      </c>
      <c r="W49" s="114">
        <v>0</v>
      </c>
      <c r="X49" s="114">
        <v>63.766384369555198</v>
      </c>
      <c r="Y49" s="114">
        <v>0</v>
      </c>
      <c r="Z49" s="114">
        <v>0</v>
      </c>
      <c r="AA49" s="114">
        <v>255.752357177806</v>
      </c>
      <c r="AB49" s="114">
        <v>0</v>
      </c>
      <c r="AC49" s="114">
        <v>0</v>
      </c>
      <c r="AD49" s="114">
        <v>0</v>
      </c>
      <c r="AE49" s="114">
        <v>12.7528168154157</v>
      </c>
      <c r="AF49" s="114">
        <v>0</v>
      </c>
      <c r="AG49" s="114">
        <v>0</v>
      </c>
      <c r="AH49" s="114">
        <v>0</v>
      </c>
      <c r="AI49" s="114">
        <v>0</v>
      </c>
      <c r="AJ49" s="114">
        <v>0</v>
      </c>
      <c r="AK49" s="114">
        <v>0</v>
      </c>
      <c r="AL49" s="114">
        <v>0</v>
      </c>
      <c r="AM49" s="114">
        <v>0</v>
      </c>
      <c r="AN49" s="114">
        <v>73.551828096340301</v>
      </c>
      <c r="AO49" s="114">
        <v>0</v>
      </c>
      <c r="AP49" s="114">
        <v>0</v>
      </c>
      <c r="AQ49" s="114">
        <v>0</v>
      </c>
      <c r="AR49" s="114">
        <v>0</v>
      </c>
      <c r="AS49" s="114">
        <v>0</v>
      </c>
      <c r="AT49" s="115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CFC7-D703-4EED-8816-722094D22949}">
  <dimension ref="B1:AT49"/>
  <sheetViews>
    <sheetView showGridLines="0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2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16" t="s">
        <v>750</v>
      </c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</row>
    <row r="2" spans="2:46" ht="12" customHeight="1" x14ac:dyDescent="0.3">
      <c r="L2" s="117" t="s">
        <v>424</v>
      </c>
      <c r="M2" s="117"/>
      <c r="N2" s="117"/>
      <c r="O2" s="117"/>
      <c r="P2" s="117"/>
      <c r="Q2" s="117"/>
      <c r="R2" s="117"/>
      <c r="S2" s="118"/>
      <c r="T2" s="117" t="s">
        <v>433</v>
      </c>
      <c r="U2" s="117"/>
      <c r="V2" s="117"/>
      <c r="W2" s="117"/>
      <c r="X2" s="117"/>
      <c r="Y2" s="117"/>
      <c r="Z2" s="118"/>
      <c r="AA2" s="119" t="s">
        <v>441</v>
      </c>
      <c r="AB2" s="117" t="s">
        <v>25</v>
      </c>
      <c r="AC2" s="117"/>
      <c r="AD2" s="118"/>
      <c r="AE2" s="117" t="s">
        <v>749</v>
      </c>
      <c r="AF2" s="117"/>
      <c r="AG2" s="117"/>
      <c r="AH2" s="118"/>
      <c r="AI2" s="117" t="s">
        <v>424</v>
      </c>
      <c r="AJ2" s="117"/>
      <c r="AK2" s="117"/>
      <c r="AL2" s="117"/>
      <c r="AM2" s="118"/>
      <c r="AN2" s="119" t="s">
        <v>455</v>
      </c>
      <c r="AO2" s="117" t="s">
        <v>433</v>
      </c>
      <c r="AP2" s="117"/>
      <c r="AQ2" s="117"/>
      <c r="AR2" s="117"/>
      <c r="AS2" s="118"/>
      <c r="AT2" s="120" t="s">
        <v>749</v>
      </c>
    </row>
    <row r="3" spans="2:46" ht="12" customHeight="1" x14ac:dyDescent="0.3">
      <c r="B3" s="107" t="s">
        <v>59</v>
      </c>
      <c r="C3" s="108" t="s">
        <v>60</v>
      </c>
      <c r="D3" s="108" t="s">
        <v>61</v>
      </c>
      <c r="E3" s="108" t="s">
        <v>62</v>
      </c>
      <c r="F3" s="108" t="s">
        <v>63</v>
      </c>
      <c r="G3" s="108" t="s">
        <v>65</v>
      </c>
      <c r="H3" s="108" t="s">
        <v>66</v>
      </c>
      <c r="I3" s="108" t="s">
        <v>687</v>
      </c>
      <c r="J3" s="108" t="s">
        <v>711</v>
      </c>
      <c r="K3" s="108" t="s">
        <v>712</v>
      </c>
      <c r="L3" s="108" t="s">
        <v>713</v>
      </c>
      <c r="M3" s="108" t="s">
        <v>714</v>
      </c>
      <c r="N3" s="108" t="s">
        <v>715</v>
      </c>
      <c r="O3" s="108" t="s">
        <v>716</v>
      </c>
      <c r="P3" s="108" t="s">
        <v>717</v>
      </c>
      <c r="Q3" s="108" t="s">
        <v>718</v>
      </c>
      <c r="R3" s="108" t="s">
        <v>719</v>
      </c>
      <c r="S3" s="108" t="s">
        <v>720</v>
      </c>
      <c r="T3" s="108" t="s">
        <v>721</v>
      </c>
      <c r="U3" s="108" t="s">
        <v>722</v>
      </c>
      <c r="V3" s="108" t="s">
        <v>723</v>
      </c>
      <c r="W3" s="108" t="s">
        <v>724</v>
      </c>
      <c r="X3" s="108" t="s">
        <v>725</v>
      </c>
      <c r="Y3" s="108" t="s">
        <v>726</v>
      </c>
      <c r="Z3" s="108" t="s">
        <v>727</v>
      </c>
      <c r="AA3" s="108" t="s">
        <v>728</v>
      </c>
      <c r="AB3" s="108" t="s">
        <v>729</v>
      </c>
      <c r="AC3" s="108" t="s">
        <v>730</v>
      </c>
      <c r="AD3" s="108" t="s">
        <v>731</v>
      </c>
      <c r="AE3" s="108" t="s">
        <v>732</v>
      </c>
      <c r="AF3" s="108" t="s">
        <v>733</v>
      </c>
      <c r="AG3" s="108" t="s">
        <v>734</v>
      </c>
      <c r="AH3" s="108" t="s">
        <v>735</v>
      </c>
      <c r="AI3" s="108" t="s">
        <v>736</v>
      </c>
      <c r="AJ3" s="108" t="s">
        <v>737</v>
      </c>
      <c r="AK3" s="108" t="s">
        <v>738</v>
      </c>
      <c r="AL3" s="108" t="s">
        <v>739</v>
      </c>
      <c r="AM3" s="108" t="s">
        <v>740</v>
      </c>
      <c r="AN3" s="108" t="s">
        <v>741</v>
      </c>
      <c r="AO3" s="108" t="s">
        <v>742</v>
      </c>
      <c r="AP3" s="108" t="s">
        <v>743</v>
      </c>
      <c r="AQ3" s="108" t="s">
        <v>744</v>
      </c>
      <c r="AR3" s="108" t="s">
        <v>745</v>
      </c>
      <c r="AS3" s="108" t="s">
        <v>746</v>
      </c>
      <c r="AT3" s="109" t="s">
        <v>747</v>
      </c>
    </row>
    <row r="4" spans="2:46" ht="12" customHeight="1" x14ac:dyDescent="0.3">
      <c r="B4" s="110" t="s">
        <v>35</v>
      </c>
      <c r="C4" s="111" t="s">
        <v>50</v>
      </c>
      <c r="D4" s="111" t="s">
        <v>25</v>
      </c>
      <c r="E4" s="111" t="s">
        <v>25</v>
      </c>
      <c r="F4" s="111" t="s">
        <v>76</v>
      </c>
      <c r="G4" s="111" t="s">
        <v>37</v>
      </c>
      <c r="H4" s="111" t="s">
        <v>69</v>
      </c>
      <c r="I4" s="111" t="s">
        <v>25</v>
      </c>
      <c r="J4" s="111">
        <v>11.82</v>
      </c>
      <c r="K4" s="111">
        <v>0</v>
      </c>
      <c r="L4" s="111">
        <v>0</v>
      </c>
      <c r="M4" s="111">
        <v>0.97109617137201798</v>
      </c>
      <c r="N4" s="111">
        <v>0</v>
      </c>
      <c r="O4" s="111">
        <v>0</v>
      </c>
      <c r="P4" s="111">
        <v>0</v>
      </c>
      <c r="Q4" s="111">
        <v>0</v>
      </c>
      <c r="R4" s="111">
        <v>0</v>
      </c>
      <c r="S4" s="111">
        <v>0</v>
      </c>
      <c r="T4" s="111">
        <v>0</v>
      </c>
      <c r="U4" s="111">
        <v>0</v>
      </c>
      <c r="V4" s="111">
        <v>0</v>
      </c>
      <c r="W4" s="111">
        <v>0</v>
      </c>
      <c r="X4" s="111">
        <v>0</v>
      </c>
      <c r="Y4" s="111">
        <v>0</v>
      </c>
      <c r="Z4" s="111">
        <v>0</v>
      </c>
      <c r="AA4" s="111">
        <v>0</v>
      </c>
      <c r="AB4" s="111">
        <v>0</v>
      </c>
      <c r="AC4" s="111">
        <v>0</v>
      </c>
      <c r="AD4" s="111">
        <v>0</v>
      </c>
      <c r="AE4" s="111">
        <v>10.8467833274947</v>
      </c>
      <c r="AF4" s="111">
        <v>0</v>
      </c>
      <c r="AG4" s="111">
        <v>0</v>
      </c>
      <c r="AH4" s="111">
        <v>0</v>
      </c>
      <c r="AI4" s="111">
        <v>0</v>
      </c>
      <c r="AJ4" s="111">
        <v>0</v>
      </c>
      <c r="AK4" s="111">
        <v>0</v>
      </c>
      <c r="AL4" s="111">
        <v>0</v>
      </c>
      <c r="AM4" s="111">
        <v>0</v>
      </c>
      <c r="AN4" s="111">
        <v>0</v>
      </c>
      <c r="AO4" s="111">
        <v>0</v>
      </c>
      <c r="AP4" s="111">
        <v>0</v>
      </c>
      <c r="AQ4" s="111">
        <v>0</v>
      </c>
      <c r="AR4" s="111">
        <v>0</v>
      </c>
      <c r="AS4" s="111">
        <v>0</v>
      </c>
      <c r="AT4" s="112">
        <v>0</v>
      </c>
    </row>
    <row r="5" spans="2:46" ht="12" customHeight="1" x14ac:dyDescent="0.3">
      <c r="B5" s="110" t="s">
        <v>35</v>
      </c>
      <c r="C5" s="111" t="s">
        <v>50</v>
      </c>
      <c r="D5" s="111" t="s">
        <v>25</v>
      </c>
      <c r="E5" s="111" t="s">
        <v>25</v>
      </c>
      <c r="F5" s="111" t="s">
        <v>76</v>
      </c>
      <c r="G5" s="111" t="s">
        <v>37</v>
      </c>
      <c r="H5" s="111" t="s">
        <v>72</v>
      </c>
      <c r="I5" s="111" t="s">
        <v>25</v>
      </c>
      <c r="J5" s="111">
        <v>137.12</v>
      </c>
      <c r="K5" s="111">
        <v>0</v>
      </c>
      <c r="L5" s="111">
        <v>0</v>
      </c>
      <c r="M5" s="111">
        <v>0</v>
      </c>
      <c r="N5" s="111">
        <v>0</v>
      </c>
      <c r="O5" s="111">
        <v>0</v>
      </c>
      <c r="P5" s="111">
        <v>0</v>
      </c>
      <c r="Q5" s="111">
        <v>0</v>
      </c>
      <c r="R5" s="111">
        <v>0</v>
      </c>
      <c r="S5" s="111">
        <v>0</v>
      </c>
      <c r="T5" s="111">
        <v>0</v>
      </c>
      <c r="U5" s="111">
        <v>0</v>
      </c>
      <c r="V5" s="111">
        <v>0</v>
      </c>
      <c r="W5" s="111">
        <v>0</v>
      </c>
      <c r="X5" s="111">
        <v>31.618589280217002</v>
      </c>
      <c r="Y5" s="111">
        <v>0</v>
      </c>
      <c r="Z5" s="111">
        <v>0</v>
      </c>
      <c r="AA5" s="111">
        <v>105.498950651036</v>
      </c>
      <c r="AB5" s="111">
        <v>0</v>
      </c>
      <c r="AC5" s="111">
        <v>0</v>
      </c>
      <c r="AD5" s="111">
        <v>0</v>
      </c>
      <c r="AE5" s="111">
        <v>0</v>
      </c>
      <c r="AF5" s="111">
        <v>0</v>
      </c>
      <c r="AG5" s="111">
        <v>0</v>
      </c>
      <c r="AH5" s="111">
        <v>0</v>
      </c>
      <c r="AI5" s="111">
        <v>0</v>
      </c>
      <c r="AJ5" s="111">
        <v>0</v>
      </c>
      <c r="AK5" s="111">
        <v>0</v>
      </c>
      <c r="AL5" s="111">
        <v>0</v>
      </c>
      <c r="AM5" s="111">
        <v>0</v>
      </c>
      <c r="AN5" s="111">
        <v>0</v>
      </c>
      <c r="AO5" s="111">
        <v>0</v>
      </c>
      <c r="AP5" s="111">
        <v>0</v>
      </c>
      <c r="AQ5" s="111">
        <v>0</v>
      </c>
      <c r="AR5" s="111">
        <v>0</v>
      </c>
      <c r="AS5" s="111">
        <v>0</v>
      </c>
      <c r="AT5" s="112">
        <v>0</v>
      </c>
    </row>
    <row r="6" spans="2:46" ht="12" customHeight="1" x14ac:dyDescent="0.3">
      <c r="B6" s="110" t="s">
        <v>35</v>
      </c>
      <c r="C6" s="111" t="s">
        <v>50</v>
      </c>
      <c r="D6" s="111" t="s">
        <v>25</v>
      </c>
      <c r="E6" s="111" t="s">
        <v>25</v>
      </c>
      <c r="F6" s="111" t="s">
        <v>76</v>
      </c>
      <c r="G6" s="111" t="s">
        <v>38</v>
      </c>
      <c r="H6" s="111" t="s">
        <v>69</v>
      </c>
      <c r="I6" s="111" t="s">
        <v>25</v>
      </c>
      <c r="J6" s="111">
        <v>11.82</v>
      </c>
      <c r="K6" s="111">
        <v>0</v>
      </c>
      <c r="L6" s="111">
        <v>0</v>
      </c>
      <c r="M6" s="111">
        <v>0.97109617137201798</v>
      </c>
      <c r="N6" s="111">
        <v>0</v>
      </c>
      <c r="O6" s="111">
        <v>0</v>
      </c>
      <c r="P6" s="111">
        <v>0</v>
      </c>
      <c r="Q6" s="111">
        <v>0</v>
      </c>
      <c r="R6" s="111">
        <v>0</v>
      </c>
      <c r="S6" s="111">
        <v>0</v>
      </c>
      <c r="T6" s="111">
        <v>0</v>
      </c>
      <c r="U6" s="111">
        <v>0</v>
      </c>
      <c r="V6" s="111">
        <v>0</v>
      </c>
      <c r="W6" s="111">
        <v>0</v>
      </c>
      <c r="X6" s="111">
        <v>0</v>
      </c>
      <c r="Y6" s="111">
        <v>0</v>
      </c>
      <c r="Z6" s="111">
        <v>0</v>
      </c>
      <c r="AA6" s="111">
        <v>0</v>
      </c>
      <c r="AB6" s="111">
        <v>0</v>
      </c>
      <c r="AC6" s="111">
        <v>0</v>
      </c>
      <c r="AD6" s="111">
        <v>0</v>
      </c>
      <c r="AE6" s="111">
        <v>10.8467833274947</v>
      </c>
      <c r="AF6" s="111">
        <v>0</v>
      </c>
      <c r="AG6" s="111">
        <v>0</v>
      </c>
      <c r="AH6" s="111">
        <v>0</v>
      </c>
      <c r="AI6" s="111">
        <v>0</v>
      </c>
      <c r="AJ6" s="111">
        <v>0</v>
      </c>
      <c r="AK6" s="111">
        <v>0</v>
      </c>
      <c r="AL6" s="111">
        <v>0</v>
      </c>
      <c r="AM6" s="111">
        <v>0</v>
      </c>
      <c r="AN6" s="111">
        <v>0</v>
      </c>
      <c r="AO6" s="111">
        <v>0</v>
      </c>
      <c r="AP6" s="111">
        <v>0</v>
      </c>
      <c r="AQ6" s="111">
        <v>0</v>
      </c>
      <c r="AR6" s="111">
        <v>0</v>
      </c>
      <c r="AS6" s="111">
        <v>0</v>
      </c>
      <c r="AT6" s="112">
        <v>0</v>
      </c>
    </row>
    <row r="7" spans="2:46" ht="12" customHeight="1" x14ac:dyDescent="0.3">
      <c r="B7" s="110" t="s">
        <v>35</v>
      </c>
      <c r="C7" s="111" t="s">
        <v>50</v>
      </c>
      <c r="D7" s="111" t="s">
        <v>25</v>
      </c>
      <c r="E7" s="111" t="s">
        <v>25</v>
      </c>
      <c r="F7" s="111" t="s">
        <v>76</v>
      </c>
      <c r="G7" s="111" t="s">
        <v>38</v>
      </c>
      <c r="H7" s="111" t="s">
        <v>72</v>
      </c>
      <c r="I7" s="111" t="s">
        <v>25</v>
      </c>
      <c r="J7" s="111">
        <v>47.11</v>
      </c>
      <c r="K7" s="111">
        <v>0</v>
      </c>
      <c r="L7" s="111">
        <v>0</v>
      </c>
      <c r="M7" s="111">
        <v>0</v>
      </c>
      <c r="N7" s="111">
        <v>0</v>
      </c>
      <c r="O7" s="111">
        <v>0</v>
      </c>
      <c r="P7" s="111">
        <v>0</v>
      </c>
      <c r="Q7" s="111">
        <v>0</v>
      </c>
      <c r="R7" s="111">
        <v>0</v>
      </c>
      <c r="S7" s="111">
        <v>0</v>
      </c>
      <c r="T7" s="111">
        <v>0</v>
      </c>
      <c r="U7" s="111">
        <v>0</v>
      </c>
      <c r="V7" s="111">
        <v>0</v>
      </c>
      <c r="W7" s="111">
        <v>0</v>
      </c>
      <c r="X7" s="111">
        <v>18.236677564011401</v>
      </c>
      <c r="Y7" s="111">
        <v>0</v>
      </c>
      <c r="Z7" s="111">
        <v>0</v>
      </c>
      <c r="AA7" s="111">
        <v>28.8748003357105</v>
      </c>
      <c r="AB7" s="111">
        <v>0</v>
      </c>
      <c r="AC7" s="111">
        <v>0</v>
      </c>
      <c r="AD7" s="111">
        <v>0</v>
      </c>
      <c r="AE7" s="111">
        <v>0</v>
      </c>
      <c r="AF7" s="111">
        <v>0</v>
      </c>
      <c r="AG7" s="111">
        <v>0</v>
      </c>
      <c r="AH7" s="111">
        <v>0</v>
      </c>
      <c r="AI7" s="111">
        <v>0</v>
      </c>
      <c r="AJ7" s="111">
        <v>0</v>
      </c>
      <c r="AK7" s="111">
        <v>0</v>
      </c>
      <c r="AL7" s="111">
        <v>0</v>
      </c>
      <c r="AM7" s="111">
        <v>0</v>
      </c>
      <c r="AN7" s="111">
        <v>0</v>
      </c>
      <c r="AO7" s="111">
        <v>0</v>
      </c>
      <c r="AP7" s="111">
        <v>0</v>
      </c>
      <c r="AQ7" s="111">
        <v>0</v>
      </c>
      <c r="AR7" s="111">
        <v>0</v>
      </c>
      <c r="AS7" s="111">
        <v>0</v>
      </c>
      <c r="AT7" s="112">
        <v>0</v>
      </c>
    </row>
    <row r="8" spans="2:46" ht="12" customHeight="1" x14ac:dyDescent="0.3">
      <c r="B8" s="110" t="s">
        <v>35</v>
      </c>
      <c r="C8" s="111" t="s">
        <v>50</v>
      </c>
      <c r="D8" s="111" t="s">
        <v>25</v>
      </c>
      <c r="E8" s="111" t="s">
        <v>25</v>
      </c>
      <c r="F8" s="111" t="s">
        <v>25</v>
      </c>
      <c r="G8" s="111" t="s">
        <v>37</v>
      </c>
      <c r="H8" s="111" t="s">
        <v>69</v>
      </c>
      <c r="I8" s="111" t="s">
        <v>25</v>
      </c>
      <c r="J8" s="111">
        <v>102.02</v>
      </c>
      <c r="K8" s="111">
        <v>124.87</v>
      </c>
      <c r="L8" s="111">
        <v>0</v>
      </c>
      <c r="M8" s="111">
        <v>0.97109617137201798</v>
      </c>
      <c r="N8" s="111">
        <v>0</v>
      </c>
      <c r="O8" s="111">
        <v>0</v>
      </c>
      <c r="P8" s="111">
        <v>0</v>
      </c>
      <c r="Q8" s="111">
        <v>75.927634464274803</v>
      </c>
      <c r="R8" s="111">
        <v>14.2759583225555</v>
      </c>
      <c r="S8" s="111">
        <v>0</v>
      </c>
      <c r="T8" s="111">
        <v>0</v>
      </c>
      <c r="U8" s="111">
        <v>0</v>
      </c>
      <c r="V8" s="111">
        <v>0</v>
      </c>
      <c r="W8" s="111">
        <v>0</v>
      </c>
      <c r="X8" s="111">
        <v>0</v>
      </c>
      <c r="Y8" s="111">
        <v>0</v>
      </c>
      <c r="Z8" s="111">
        <v>0</v>
      </c>
      <c r="AA8" s="111">
        <v>0</v>
      </c>
      <c r="AB8" s="111">
        <v>0</v>
      </c>
      <c r="AC8" s="111">
        <v>0</v>
      </c>
      <c r="AD8" s="111">
        <v>0</v>
      </c>
      <c r="AE8" s="111">
        <v>10.8467833274947</v>
      </c>
      <c r="AF8" s="111">
        <v>0</v>
      </c>
      <c r="AG8" s="111">
        <v>0</v>
      </c>
      <c r="AH8" s="111">
        <v>0</v>
      </c>
      <c r="AI8" s="111">
        <v>0</v>
      </c>
      <c r="AJ8" s="111">
        <v>0</v>
      </c>
      <c r="AK8" s="111">
        <v>0</v>
      </c>
      <c r="AL8" s="111">
        <v>0</v>
      </c>
      <c r="AM8" s="111">
        <v>0</v>
      </c>
      <c r="AN8" s="111">
        <v>124.87025481095201</v>
      </c>
      <c r="AO8" s="111">
        <v>0</v>
      </c>
      <c r="AP8" s="111">
        <v>0</v>
      </c>
      <c r="AQ8" s="111">
        <v>0</v>
      </c>
      <c r="AR8" s="111">
        <v>0</v>
      </c>
      <c r="AS8" s="111">
        <v>0</v>
      </c>
      <c r="AT8" s="112">
        <v>0</v>
      </c>
    </row>
    <row r="9" spans="2:46" ht="12" customHeight="1" x14ac:dyDescent="0.3">
      <c r="B9" s="110" t="s">
        <v>35</v>
      </c>
      <c r="C9" s="111" t="s">
        <v>50</v>
      </c>
      <c r="D9" s="111" t="s">
        <v>25</v>
      </c>
      <c r="E9" s="111" t="s">
        <v>25</v>
      </c>
      <c r="F9" s="111" t="s">
        <v>25</v>
      </c>
      <c r="G9" s="111" t="s">
        <v>37</v>
      </c>
      <c r="H9" s="111" t="s">
        <v>72</v>
      </c>
      <c r="I9" s="111" t="s">
        <v>25</v>
      </c>
      <c r="J9" s="111">
        <v>137.12</v>
      </c>
      <c r="K9" s="111">
        <v>0</v>
      </c>
      <c r="L9" s="111">
        <v>0</v>
      </c>
      <c r="M9" s="111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>
        <v>0</v>
      </c>
      <c r="X9" s="111">
        <v>31.618589280217002</v>
      </c>
      <c r="Y9" s="111">
        <v>0</v>
      </c>
      <c r="Z9" s="111">
        <v>0</v>
      </c>
      <c r="AA9" s="111">
        <v>105.498950651036</v>
      </c>
      <c r="AB9" s="111">
        <v>0</v>
      </c>
      <c r="AC9" s="111">
        <v>0</v>
      </c>
      <c r="AD9" s="111">
        <v>0</v>
      </c>
      <c r="AE9" s="111">
        <v>0</v>
      </c>
      <c r="AF9" s="111">
        <v>0</v>
      </c>
      <c r="AG9" s="111">
        <v>0</v>
      </c>
      <c r="AH9" s="111">
        <v>0</v>
      </c>
      <c r="AI9" s="111">
        <v>0</v>
      </c>
      <c r="AJ9" s="111">
        <v>0</v>
      </c>
      <c r="AK9" s="111">
        <v>0</v>
      </c>
      <c r="AL9" s="111">
        <v>0</v>
      </c>
      <c r="AM9" s="111">
        <v>0</v>
      </c>
      <c r="AN9" s="111">
        <v>0</v>
      </c>
      <c r="AO9" s="111">
        <v>0</v>
      </c>
      <c r="AP9" s="111">
        <v>0</v>
      </c>
      <c r="AQ9" s="111">
        <v>0</v>
      </c>
      <c r="AR9" s="111">
        <v>0</v>
      </c>
      <c r="AS9" s="111">
        <v>0</v>
      </c>
      <c r="AT9" s="112">
        <v>0</v>
      </c>
    </row>
    <row r="10" spans="2:46" ht="12" customHeight="1" x14ac:dyDescent="0.3">
      <c r="B10" s="110" t="s">
        <v>35</v>
      </c>
      <c r="C10" s="111" t="s">
        <v>50</v>
      </c>
      <c r="D10" s="111" t="s">
        <v>25</v>
      </c>
      <c r="E10" s="111" t="s">
        <v>25</v>
      </c>
      <c r="F10" s="111" t="s">
        <v>25</v>
      </c>
      <c r="G10" s="111" t="s">
        <v>38</v>
      </c>
      <c r="H10" s="111" t="s">
        <v>69</v>
      </c>
      <c r="I10" s="111" t="s">
        <v>25</v>
      </c>
      <c r="J10" s="111">
        <v>102.02</v>
      </c>
      <c r="K10" s="111">
        <v>124.87</v>
      </c>
      <c r="L10" s="111">
        <v>0</v>
      </c>
      <c r="M10" s="111">
        <v>0.97109617137201798</v>
      </c>
      <c r="N10" s="111">
        <v>0</v>
      </c>
      <c r="O10" s="111">
        <v>0</v>
      </c>
      <c r="P10" s="111">
        <v>0</v>
      </c>
      <c r="Q10" s="111">
        <v>75.927634464274803</v>
      </c>
      <c r="R10" s="111">
        <v>14.2759583225555</v>
      </c>
      <c r="S10" s="111">
        <v>0</v>
      </c>
      <c r="T10" s="111">
        <v>0</v>
      </c>
      <c r="U10" s="111">
        <v>0</v>
      </c>
      <c r="V10" s="111">
        <v>0</v>
      </c>
      <c r="W10" s="111">
        <v>0</v>
      </c>
      <c r="X10" s="111">
        <v>0</v>
      </c>
      <c r="Y10" s="111">
        <v>0</v>
      </c>
      <c r="Z10" s="111">
        <v>0</v>
      </c>
      <c r="AA10" s="111">
        <v>0</v>
      </c>
      <c r="AB10" s="111">
        <v>0</v>
      </c>
      <c r="AC10" s="111">
        <v>0</v>
      </c>
      <c r="AD10" s="111">
        <v>0</v>
      </c>
      <c r="AE10" s="111">
        <v>10.8467833274947</v>
      </c>
      <c r="AF10" s="111">
        <v>0</v>
      </c>
      <c r="AG10" s="111">
        <v>0</v>
      </c>
      <c r="AH10" s="111">
        <v>0</v>
      </c>
      <c r="AI10" s="111">
        <v>0</v>
      </c>
      <c r="AJ10" s="111">
        <v>0</v>
      </c>
      <c r="AK10" s="111">
        <v>0</v>
      </c>
      <c r="AL10" s="111">
        <v>0</v>
      </c>
      <c r="AM10" s="111">
        <v>0</v>
      </c>
      <c r="AN10" s="111">
        <v>124.87025481095201</v>
      </c>
      <c r="AO10" s="111">
        <v>0</v>
      </c>
      <c r="AP10" s="111">
        <v>0</v>
      </c>
      <c r="AQ10" s="111">
        <v>0</v>
      </c>
      <c r="AR10" s="111">
        <v>0</v>
      </c>
      <c r="AS10" s="111">
        <v>0</v>
      </c>
      <c r="AT10" s="112">
        <v>0</v>
      </c>
    </row>
    <row r="11" spans="2:46" ht="12" customHeight="1" x14ac:dyDescent="0.3">
      <c r="B11" s="110" t="s">
        <v>35</v>
      </c>
      <c r="C11" s="111" t="s">
        <v>50</v>
      </c>
      <c r="D11" s="111" t="s">
        <v>25</v>
      </c>
      <c r="E11" s="111" t="s">
        <v>25</v>
      </c>
      <c r="F11" s="111" t="s">
        <v>25</v>
      </c>
      <c r="G11" s="111" t="s">
        <v>38</v>
      </c>
      <c r="H11" s="111" t="s">
        <v>72</v>
      </c>
      <c r="I11" s="111" t="s">
        <v>25</v>
      </c>
      <c r="J11" s="111">
        <v>47.11</v>
      </c>
      <c r="K11" s="111">
        <v>0</v>
      </c>
      <c r="L11" s="111">
        <v>0</v>
      </c>
      <c r="M11" s="111">
        <v>0</v>
      </c>
      <c r="N11" s="111">
        <v>0</v>
      </c>
      <c r="O11" s="111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1">
        <v>0</v>
      </c>
      <c r="V11" s="111">
        <v>0</v>
      </c>
      <c r="W11" s="111">
        <v>0</v>
      </c>
      <c r="X11" s="111">
        <v>18.236677564011401</v>
      </c>
      <c r="Y11" s="111">
        <v>0</v>
      </c>
      <c r="Z11" s="111">
        <v>0</v>
      </c>
      <c r="AA11" s="111">
        <v>28.8748003357105</v>
      </c>
      <c r="AB11" s="111">
        <v>0</v>
      </c>
      <c r="AC11" s="111">
        <v>0</v>
      </c>
      <c r="AD11" s="111">
        <v>0</v>
      </c>
      <c r="AE11" s="111">
        <v>0</v>
      </c>
      <c r="AF11" s="111">
        <v>0</v>
      </c>
      <c r="AG11" s="111">
        <v>0</v>
      </c>
      <c r="AH11" s="111">
        <v>0</v>
      </c>
      <c r="AI11" s="111">
        <v>0</v>
      </c>
      <c r="AJ11" s="111">
        <v>0</v>
      </c>
      <c r="AK11" s="111">
        <v>0</v>
      </c>
      <c r="AL11" s="111">
        <v>0</v>
      </c>
      <c r="AM11" s="111">
        <v>0</v>
      </c>
      <c r="AN11" s="111">
        <v>0</v>
      </c>
      <c r="AO11" s="111">
        <v>0</v>
      </c>
      <c r="AP11" s="111">
        <v>0</v>
      </c>
      <c r="AQ11" s="111">
        <v>0</v>
      </c>
      <c r="AR11" s="111">
        <v>0</v>
      </c>
      <c r="AS11" s="111">
        <v>0</v>
      </c>
      <c r="AT11" s="112">
        <v>0</v>
      </c>
    </row>
    <row r="12" spans="2:46" ht="12" customHeight="1" x14ac:dyDescent="0.3">
      <c r="B12" s="110" t="s">
        <v>35</v>
      </c>
      <c r="C12" s="111" t="s">
        <v>77</v>
      </c>
      <c r="D12" s="111" t="s">
        <v>25</v>
      </c>
      <c r="E12" s="111" t="s">
        <v>25</v>
      </c>
      <c r="F12" s="111" t="s">
        <v>25</v>
      </c>
      <c r="G12" s="111" t="s">
        <v>25</v>
      </c>
      <c r="H12" s="111" t="s">
        <v>72</v>
      </c>
      <c r="I12" s="111" t="s">
        <v>25</v>
      </c>
      <c r="J12" s="111">
        <v>16.13</v>
      </c>
      <c r="K12" s="111">
        <v>0</v>
      </c>
      <c r="L12" s="111">
        <v>0</v>
      </c>
      <c r="M12" s="111">
        <v>1.20940843762147E-2</v>
      </c>
      <c r="N12" s="111">
        <v>0</v>
      </c>
      <c r="O12" s="111">
        <v>0</v>
      </c>
      <c r="P12" s="111">
        <v>0</v>
      </c>
      <c r="Q12" s="111">
        <v>0</v>
      </c>
      <c r="R12" s="111">
        <v>0</v>
      </c>
      <c r="S12" s="111">
        <v>0</v>
      </c>
      <c r="T12" s="111">
        <v>0</v>
      </c>
      <c r="U12" s="111">
        <v>0</v>
      </c>
      <c r="V12" s="111">
        <v>0</v>
      </c>
      <c r="W12" s="111">
        <v>0</v>
      </c>
      <c r="X12" s="111">
        <v>0</v>
      </c>
      <c r="Y12" s="111">
        <v>0</v>
      </c>
      <c r="Z12" s="111">
        <v>0</v>
      </c>
      <c r="AA12" s="111">
        <v>16.1156422267421</v>
      </c>
      <c r="AB12" s="111">
        <v>0</v>
      </c>
      <c r="AC12" s="111">
        <v>0</v>
      </c>
      <c r="AD12" s="111">
        <v>0</v>
      </c>
      <c r="AE12" s="111">
        <v>0</v>
      </c>
      <c r="AF12" s="111">
        <v>0</v>
      </c>
      <c r="AG12" s="111">
        <v>0</v>
      </c>
      <c r="AH12" s="111">
        <v>0</v>
      </c>
      <c r="AI12" s="111">
        <v>0</v>
      </c>
      <c r="AJ12" s="111">
        <v>0</v>
      </c>
      <c r="AK12" s="111">
        <v>0</v>
      </c>
      <c r="AL12" s="111">
        <v>0</v>
      </c>
      <c r="AM12" s="111">
        <v>0</v>
      </c>
      <c r="AN12" s="111">
        <v>0</v>
      </c>
      <c r="AO12" s="111">
        <v>0</v>
      </c>
      <c r="AP12" s="111">
        <v>0</v>
      </c>
      <c r="AQ12" s="111">
        <v>0</v>
      </c>
      <c r="AR12" s="111">
        <v>0</v>
      </c>
      <c r="AS12" s="111">
        <v>0</v>
      </c>
      <c r="AT12" s="112">
        <v>0</v>
      </c>
    </row>
    <row r="13" spans="2:46" ht="12" customHeight="1" x14ac:dyDescent="0.3">
      <c r="B13" s="110" t="s">
        <v>35</v>
      </c>
      <c r="C13" s="111" t="s">
        <v>36</v>
      </c>
      <c r="D13" s="111" t="s">
        <v>25</v>
      </c>
      <c r="E13" s="111" t="s">
        <v>25</v>
      </c>
      <c r="F13" s="111" t="s">
        <v>76</v>
      </c>
      <c r="G13" s="111" t="s">
        <v>37</v>
      </c>
      <c r="H13" s="111" t="s">
        <v>69</v>
      </c>
      <c r="I13" s="111" t="s">
        <v>25</v>
      </c>
      <c r="J13" s="111">
        <v>3310.22</v>
      </c>
      <c r="K13" s="111">
        <v>0</v>
      </c>
      <c r="L13" s="111">
        <v>0</v>
      </c>
      <c r="M13" s="111">
        <v>0.97109617137201798</v>
      </c>
      <c r="N13" s="111">
        <v>0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111">
        <v>0</v>
      </c>
      <c r="X13" s="111">
        <v>761.14840491709401</v>
      </c>
      <c r="Y13" s="111">
        <v>0</v>
      </c>
      <c r="Z13" s="111">
        <v>0</v>
      </c>
      <c r="AA13" s="111">
        <v>2537.2492034380898</v>
      </c>
      <c r="AB13" s="111">
        <v>0</v>
      </c>
      <c r="AC13" s="111">
        <v>0</v>
      </c>
      <c r="AD13" s="111">
        <v>0</v>
      </c>
      <c r="AE13" s="111">
        <v>10.8467833274947</v>
      </c>
      <c r="AF13" s="111">
        <v>0</v>
      </c>
      <c r="AG13" s="111">
        <v>0</v>
      </c>
      <c r="AH13" s="111">
        <v>0</v>
      </c>
      <c r="AI13" s="111">
        <v>0</v>
      </c>
      <c r="AJ13" s="111">
        <v>0</v>
      </c>
      <c r="AK13" s="111">
        <v>0</v>
      </c>
      <c r="AL13" s="111">
        <v>0</v>
      </c>
      <c r="AM13" s="111">
        <v>0</v>
      </c>
      <c r="AN13" s="111">
        <v>0</v>
      </c>
      <c r="AO13" s="111">
        <v>0</v>
      </c>
      <c r="AP13" s="111">
        <v>0</v>
      </c>
      <c r="AQ13" s="111">
        <v>0</v>
      </c>
      <c r="AR13" s="111">
        <v>0</v>
      </c>
      <c r="AS13" s="111">
        <v>0</v>
      </c>
      <c r="AT13" s="112">
        <v>0</v>
      </c>
    </row>
    <row r="14" spans="2:46" ht="12" customHeight="1" x14ac:dyDescent="0.3">
      <c r="B14" s="110" t="s">
        <v>35</v>
      </c>
      <c r="C14" s="111" t="s">
        <v>36</v>
      </c>
      <c r="D14" s="111" t="s">
        <v>25</v>
      </c>
      <c r="E14" s="111" t="s">
        <v>25</v>
      </c>
      <c r="F14" s="111" t="s">
        <v>76</v>
      </c>
      <c r="G14" s="111" t="s">
        <v>25</v>
      </c>
      <c r="H14" s="111" t="s">
        <v>72</v>
      </c>
      <c r="I14" s="111" t="s">
        <v>25</v>
      </c>
      <c r="J14" s="111">
        <v>47.11</v>
      </c>
      <c r="K14" s="111">
        <v>0</v>
      </c>
      <c r="L14" s="111">
        <v>0</v>
      </c>
      <c r="M14" s="111">
        <v>0</v>
      </c>
      <c r="N14" s="111">
        <v>0</v>
      </c>
      <c r="O14" s="111">
        <v>0</v>
      </c>
      <c r="P14" s="111">
        <v>0</v>
      </c>
      <c r="Q14" s="111">
        <v>0</v>
      </c>
      <c r="R14" s="111">
        <v>0</v>
      </c>
      <c r="S14" s="111">
        <v>0</v>
      </c>
      <c r="T14" s="111">
        <v>0</v>
      </c>
      <c r="U14" s="111">
        <v>0</v>
      </c>
      <c r="V14" s="111">
        <v>0</v>
      </c>
      <c r="W14" s="111">
        <v>0</v>
      </c>
      <c r="X14" s="111">
        <v>18.236677564011401</v>
      </c>
      <c r="Y14" s="111">
        <v>0</v>
      </c>
      <c r="Z14" s="111">
        <v>0</v>
      </c>
      <c r="AA14" s="111">
        <v>28.8748003357105</v>
      </c>
      <c r="AB14" s="111">
        <v>0</v>
      </c>
      <c r="AC14" s="111">
        <v>0</v>
      </c>
      <c r="AD14" s="111">
        <v>0</v>
      </c>
      <c r="AE14" s="111">
        <v>0</v>
      </c>
      <c r="AF14" s="111">
        <v>0</v>
      </c>
      <c r="AG14" s="111">
        <v>0</v>
      </c>
      <c r="AH14" s="111">
        <v>0</v>
      </c>
      <c r="AI14" s="111">
        <v>0</v>
      </c>
      <c r="AJ14" s="111">
        <v>0</v>
      </c>
      <c r="AK14" s="111">
        <v>0</v>
      </c>
      <c r="AL14" s="111">
        <v>0</v>
      </c>
      <c r="AM14" s="111">
        <v>0</v>
      </c>
      <c r="AN14" s="111">
        <v>0</v>
      </c>
      <c r="AO14" s="111">
        <v>0</v>
      </c>
      <c r="AP14" s="111">
        <v>0</v>
      </c>
      <c r="AQ14" s="111">
        <v>0</v>
      </c>
      <c r="AR14" s="111">
        <v>0</v>
      </c>
      <c r="AS14" s="111">
        <v>0</v>
      </c>
      <c r="AT14" s="112">
        <v>0</v>
      </c>
    </row>
    <row r="15" spans="2:46" ht="12" customHeight="1" x14ac:dyDescent="0.3">
      <c r="B15" s="110" t="s">
        <v>35</v>
      </c>
      <c r="C15" s="111" t="s">
        <v>36</v>
      </c>
      <c r="D15" s="111" t="s">
        <v>25</v>
      </c>
      <c r="E15" s="111" t="s">
        <v>25</v>
      </c>
      <c r="F15" s="111" t="s">
        <v>76</v>
      </c>
      <c r="G15" s="111" t="s">
        <v>38</v>
      </c>
      <c r="H15" s="111" t="s">
        <v>69</v>
      </c>
      <c r="I15" s="111" t="s">
        <v>25</v>
      </c>
      <c r="J15" s="111">
        <v>11.82</v>
      </c>
      <c r="K15" s="111">
        <v>0</v>
      </c>
      <c r="L15" s="111">
        <v>0</v>
      </c>
      <c r="M15" s="111">
        <v>0.97109617137201798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>
        <v>0</v>
      </c>
      <c r="X15" s="111">
        <v>0</v>
      </c>
      <c r="Y15" s="111">
        <v>0</v>
      </c>
      <c r="Z15" s="111">
        <v>0</v>
      </c>
      <c r="AA15" s="111">
        <v>0</v>
      </c>
      <c r="AB15" s="111">
        <v>0</v>
      </c>
      <c r="AC15" s="111">
        <v>0</v>
      </c>
      <c r="AD15" s="111">
        <v>0</v>
      </c>
      <c r="AE15" s="111">
        <v>10.8467833274947</v>
      </c>
      <c r="AF15" s="111">
        <v>0</v>
      </c>
      <c r="AG15" s="111">
        <v>0</v>
      </c>
      <c r="AH15" s="111">
        <v>0</v>
      </c>
      <c r="AI15" s="111">
        <v>0</v>
      </c>
      <c r="AJ15" s="111">
        <v>0</v>
      </c>
      <c r="AK15" s="111">
        <v>0</v>
      </c>
      <c r="AL15" s="111">
        <v>0</v>
      </c>
      <c r="AM15" s="111">
        <v>0</v>
      </c>
      <c r="AN15" s="111">
        <v>0</v>
      </c>
      <c r="AO15" s="111">
        <v>0</v>
      </c>
      <c r="AP15" s="111">
        <v>0</v>
      </c>
      <c r="AQ15" s="111">
        <v>0</v>
      </c>
      <c r="AR15" s="111">
        <v>0</v>
      </c>
      <c r="AS15" s="111">
        <v>0</v>
      </c>
      <c r="AT15" s="112">
        <v>0</v>
      </c>
    </row>
    <row r="16" spans="2:46" ht="12" customHeight="1" x14ac:dyDescent="0.3">
      <c r="B16" s="110" t="s">
        <v>35</v>
      </c>
      <c r="C16" s="111" t="s">
        <v>36</v>
      </c>
      <c r="D16" s="111" t="s">
        <v>25</v>
      </c>
      <c r="E16" s="111" t="s">
        <v>25</v>
      </c>
      <c r="F16" s="111" t="s">
        <v>25</v>
      </c>
      <c r="G16" s="111" t="s">
        <v>37</v>
      </c>
      <c r="H16" s="111" t="s">
        <v>69</v>
      </c>
      <c r="I16" s="111" t="s">
        <v>25</v>
      </c>
      <c r="J16" s="111">
        <v>3400.42</v>
      </c>
      <c r="K16" s="111">
        <v>124.87</v>
      </c>
      <c r="L16" s="111">
        <v>0</v>
      </c>
      <c r="M16" s="111">
        <v>0.97109617137201798</v>
      </c>
      <c r="N16" s="111">
        <v>0</v>
      </c>
      <c r="O16" s="111">
        <v>0</v>
      </c>
      <c r="P16" s="111">
        <v>0</v>
      </c>
      <c r="Q16" s="111">
        <v>75.927634464274803</v>
      </c>
      <c r="R16" s="111">
        <v>14.2759583225555</v>
      </c>
      <c r="S16" s="111">
        <v>0</v>
      </c>
      <c r="T16" s="111">
        <v>0</v>
      </c>
      <c r="U16" s="111">
        <v>0</v>
      </c>
      <c r="V16" s="111">
        <v>0</v>
      </c>
      <c r="W16" s="111">
        <v>0</v>
      </c>
      <c r="X16" s="111">
        <v>761.14840491709401</v>
      </c>
      <c r="Y16" s="111">
        <v>0</v>
      </c>
      <c r="Z16" s="111">
        <v>0</v>
      </c>
      <c r="AA16" s="111">
        <v>2537.2492034380898</v>
      </c>
      <c r="AB16" s="111">
        <v>0</v>
      </c>
      <c r="AC16" s="111">
        <v>0</v>
      </c>
      <c r="AD16" s="111">
        <v>0</v>
      </c>
      <c r="AE16" s="111">
        <v>10.8467833274947</v>
      </c>
      <c r="AF16" s="111">
        <v>0</v>
      </c>
      <c r="AG16" s="111">
        <v>0</v>
      </c>
      <c r="AH16" s="111">
        <v>0</v>
      </c>
      <c r="AI16" s="111">
        <v>0</v>
      </c>
      <c r="AJ16" s="111">
        <v>0</v>
      </c>
      <c r="AK16" s="111">
        <v>0</v>
      </c>
      <c r="AL16" s="111">
        <v>0</v>
      </c>
      <c r="AM16" s="111">
        <v>0</v>
      </c>
      <c r="AN16" s="111">
        <v>124.87025481095201</v>
      </c>
      <c r="AO16" s="111">
        <v>0</v>
      </c>
      <c r="AP16" s="111">
        <v>0</v>
      </c>
      <c r="AQ16" s="111">
        <v>0</v>
      </c>
      <c r="AR16" s="111">
        <v>0</v>
      </c>
      <c r="AS16" s="111">
        <v>0</v>
      </c>
      <c r="AT16" s="112">
        <v>0</v>
      </c>
    </row>
    <row r="17" spans="2:46" ht="12" customHeight="1" x14ac:dyDescent="0.3">
      <c r="B17" s="110" t="s">
        <v>35</v>
      </c>
      <c r="C17" s="111" t="s">
        <v>36</v>
      </c>
      <c r="D17" s="111" t="s">
        <v>25</v>
      </c>
      <c r="E17" s="111" t="s">
        <v>25</v>
      </c>
      <c r="F17" s="111" t="s">
        <v>25</v>
      </c>
      <c r="G17" s="111" t="s">
        <v>25</v>
      </c>
      <c r="H17" s="111" t="s">
        <v>72</v>
      </c>
      <c r="I17" s="111" t="s">
        <v>25</v>
      </c>
      <c r="J17" s="111">
        <v>47.11</v>
      </c>
      <c r="K17" s="111">
        <v>0</v>
      </c>
      <c r="L17" s="111">
        <v>0</v>
      </c>
      <c r="M17" s="111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0</v>
      </c>
      <c r="W17" s="111">
        <v>0</v>
      </c>
      <c r="X17" s="111">
        <v>18.236677564011401</v>
      </c>
      <c r="Y17" s="111">
        <v>0</v>
      </c>
      <c r="Z17" s="111">
        <v>0</v>
      </c>
      <c r="AA17" s="111">
        <v>28.8748003357105</v>
      </c>
      <c r="AB17" s="111">
        <v>0</v>
      </c>
      <c r="AC17" s="111">
        <v>0</v>
      </c>
      <c r="AD17" s="111">
        <v>0</v>
      </c>
      <c r="AE17" s="111">
        <v>0</v>
      </c>
      <c r="AF17" s="111">
        <v>0</v>
      </c>
      <c r="AG17" s="111">
        <v>0</v>
      </c>
      <c r="AH17" s="111">
        <v>0</v>
      </c>
      <c r="AI17" s="111">
        <v>0</v>
      </c>
      <c r="AJ17" s="111">
        <v>0</v>
      </c>
      <c r="AK17" s="111">
        <v>0</v>
      </c>
      <c r="AL17" s="111">
        <v>0</v>
      </c>
      <c r="AM17" s="111">
        <v>0</v>
      </c>
      <c r="AN17" s="111">
        <v>0</v>
      </c>
      <c r="AO17" s="111">
        <v>0</v>
      </c>
      <c r="AP17" s="111">
        <v>0</v>
      </c>
      <c r="AQ17" s="111">
        <v>0</v>
      </c>
      <c r="AR17" s="111">
        <v>0</v>
      </c>
      <c r="AS17" s="111">
        <v>0</v>
      </c>
      <c r="AT17" s="112">
        <v>0</v>
      </c>
    </row>
    <row r="18" spans="2:46" ht="12" customHeight="1" x14ac:dyDescent="0.3">
      <c r="B18" s="110" t="s">
        <v>35</v>
      </c>
      <c r="C18" s="111" t="s">
        <v>36</v>
      </c>
      <c r="D18" s="111" t="s">
        <v>25</v>
      </c>
      <c r="E18" s="111" t="s">
        <v>25</v>
      </c>
      <c r="F18" s="111" t="s">
        <v>25</v>
      </c>
      <c r="G18" s="111" t="s">
        <v>38</v>
      </c>
      <c r="H18" s="111" t="s">
        <v>69</v>
      </c>
      <c r="I18" s="111" t="s">
        <v>25</v>
      </c>
      <c r="J18" s="111">
        <v>102.02</v>
      </c>
      <c r="K18" s="111">
        <v>124.87</v>
      </c>
      <c r="L18" s="111">
        <v>0</v>
      </c>
      <c r="M18" s="111">
        <v>0.97109617137201798</v>
      </c>
      <c r="N18" s="111">
        <v>0</v>
      </c>
      <c r="O18" s="111">
        <v>0</v>
      </c>
      <c r="P18" s="111">
        <v>0</v>
      </c>
      <c r="Q18" s="111">
        <v>75.927634464274803</v>
      </c>
      <c r="R18" s="111">
        <v>14.2759583225555</v>
      </c>
      <c r="S18" s="111">
        <v>0</v>
      </c>
      <c r="T18" s="111">
        <v>0</v>
      </c>
      <c r="U18" s="111">
        <v>0</v>
      </c>
      <c r="V18" s="111">
        <v>0</v>
      </c>
      <c r="W18" s="111">
        <v>0</v>
      </c>
      <c r="X18" s="111">
        <v>0</v>
      </c>
      <c r="Y18" s="111">
        <v>0</v>
      </c>
      <c r="Z18" s="111">
        <v>0</v>
      </c>
      <c r="AA18" s="111">
        <v>0</v>
      </c>
      <c r="AB18" s="111">
        <v>0</v>
      </c>
      <c r="AC18" s="111">
        <v>0</v>
      </c>
      <c r="AD18" s="111">
        <v>0</v>
      </c>
      <c r="AE18" s="111">
        <v>10.8467833274947</v>
      </c>
      <c r="AF18" s="111">
        <v>0</v>
      </c>
      <c r="AG18" s="111">
        <v>0</v>
      </c>
      <c r="AH18" s="111">
        <v>0</v>
      </c>
      <c r="AI18" s="111">
        <v>0</v>
      </c>
      <c r="AJ18" s="111">
        <v>0</v>
      </c>
      <c r="AK18" s="111">
        <v>0</v>
      </c>
      <c r="AL18" s="111">
        <v>0</v>
      </c>
      <c r="AM18" s="111">
        <v>0</v>
      </c>
      <c r="AN18" s="111">
        <v>124.87025481095201</v>
      </c>
      <c r="AO18" s="111">
        <v>0</v>
      </c>
      <c r="AP18" s="111">
        <v>0</v>
      </c>
      <c r="AQ18" s="111">
        <v>0</v>
      </c>
      <c r="AR18" s="111">
        <v>0</v>
      </c>
      <c r="AS18" s="111">
        <v>0</v>
      </c>
      <c r="AT18" s="112">
        <v>0</v>
      </c>
    </row>
    <row r="19" spans="2:46" ht="12" customHeight="1" x14ac:dyDescent="0.3">
      <c r="B19" s="110" t="s">
        <v>78</v>
      </c>
      <c r="C19" s="111" t="s">
        <v>77</v>
      </c>
      <c r="D19" s="111" t="s">
        <v>25</v>
      </c>
      <c r="E19" s="111" t="s">
        <v>25</v>
      </c>
      <c r="F19" s="111" t="s">
        <v>79</v>
      </c>
      <c r="G19" s="111" t="s">
        <v>25</v>
      </c>
      <c r="H19" s="111" t="s">
        <v>72</v>
      </c>
      <c r="I19" s="111" t="s">
        <v>25</v>
      </c>
      <c r="J19" s="111">
        <v>9.26</v>
      </c>
      <c r="K19" s="111">
        <v>0</v>
      </c>
      <c r="L19" s="111">
        <v>0</v>
      </c>
      <c r="M19" s="111">
        <v>6.9109053578369902E-3</v>
      </c>
      <c r="N19" s="111">
        <v>0</v>
      </c>
      <c r="O19" s="111">
        <v>0</v>
      </c>
      <c r="P19" s="111">
        <v>0</v>
      </c>
      <c r="Q19" s="111">
        <v>0</v>
      </c>
      <c r="R19" s="111">
        <v>0</v>
      </c>
      <c r="S19" s="111">
        <v>0</v>
      </c>
      <c r="T19" s="111">
        <v>0</v>
      </c>
      <c r="U19" s="111">
        <v>0</v>
      </c>
      <c r="V19" s="111">
        <v>0</v>
      </c>
      <c r="W19" s="111">
        <v>0</v>
      </c>
      <c r="X19" s="111">
        <v>0</v>
      </c>
      <c r="Y19" s="111">
        <v>0</v>
      </c>
      <c r="Z19" s="111">
        <v>0</v>
      </c>
      <c r="AA19" s="111">
        <v>9.2572487348640191</v>
      </c>
      <c r="AB19" s="111">
        <v>0</v>
      </c>
      <c r="AC19" s="111">
        <v>0</v>
      </c>
      <c r="AD19" s="111">
        <v>0</v>
      </c>
      <c r="AE19" s="111">
        <v>0</v>
      </c>
      <c r="AF19" s="111">
        <v>0</v>
      </c>
      <c r="AG19" s="111">
        <v>0</v>
      </c>
      <c r="AH19" s="111">
        <v>0</v>
      </c>
      <c r="AI19" s="111">
        <v>0</v>
      </c>
      <c r="AJ19" s="111">
        <v>0</v>
      </c>
      <c r="AK19" s="111">
        <v>0</v>
      </c>
      <c r="AL19" s="111">
        <v>0</v>
      </c>
      <c r="AM19" s="111">
        <v>0</v>
      </c>
      <c r="AN19" s="111">
        <v>0</v>
      </c>
      <c r="AO19" s="111">
        <v>0</v>
      </c>
      <c r="AP19" s="111">
        <v>0</v>
      </c>
      <c r="AQ19" s="111">
        <v>0</v>
      </c>
      <c r="AR19" s="111">
        <v>0</v>
      </c>
      <c r="AS19" s="111">
        <v>0</v>
      </c>
      <c r="AT19" s="112">
        <v>0</v>
      </c>
    </row>
    <row r="20" spans="2:46" ht="12" customHeight="1" x14ac:dyDescent="0.3">
      <c r="B20" s="110" t="s">
        <v>78</v>
      </c>
      <c r="C20" s="111" t="s">
        <v>77</v>
      </c>
      <c r="D20" s="111" t="s">
        <v>25</v>
      </c>
      <c r="E20" s="111" t="s">
        <v>25</v>
      </c>
      <c r="F20" s="111" t="s">
        <v>80</v>
      </c>
      <c r="G20" s="111" t="s">
        <v>25</v>
      </c>
      <c r="H20" s="111" t="s">
        <v>72</v>
      </c>
      <c r="I20" s="111" t="s">
        <v>25</v>
      </c>
      <c r="J20" s="111">
        <v>27.56</v>
      </c>
      <c r="K20" s="111">
        <v>0</v>
      </c>
      <c r="L20" s="111">
        <v>0</v>
      </c>
      <c r="M20" s="111">
        <v>6.9109053578369902E-3</v>
      </c>
      <c r="N20" s="111">
        <v>0</v>
      </c>
      <c r="O20" s="111">
        <v>0</v>
      </c>
      <c r="P20" s="111">
        <v>0</v>
      </c>
      <c r="Q20" s="111">
        <v>0</v>
      </c>
      <c r="R20" s="111">
        <v>0</v>
      </c>
      <c r="S20" s="111">
        <v>0</v>
      </c>
      <c r="T20" s="111">
        <v>0</v>
      </c>
      <c r="U20" s="111">
        <v>0</v>
      </c>
      <c r="V20" s="111">
        <v>0</v>
      </c>
      <c r="W20" s="111">
        <v>0</v>
      </c>
      <c r="X20" s="111">
        <v>0</v>
      </c>
      <c r="Y20" s="111">
        <v>0</v>
      </c>
      <c r="Z20" s="111">
        <v>0</v>
      </c>
      <c r="AA20" s="111">
        <v>27.554269806566399</v>
      </c>
      <c r="AB20" s="111">
        <v>0</v>
      </c>
      <c r="AC20" s="111">
        <v>0</v>
      </c>
      <c r="AD20" s="111">
        <v>0</v>
      </c>
      <c r="AE20" s="111">
        <v>0</v>
      </c>
      <c r="AF20" s="111">
        <v>0</v>
      </c>
      <c r="AG20" s="111">
        <v>0</v>
      </c>
      <c r="AH20" s="111">
        <v>0</v>
      </c>
      <c r="AI20" s="111">
        <v>0</v>
      </c>
      <c r="AJ20" s="111">
        <v>0</v>
      </c>
      <c r="AK20" s="111">
        <v>0</v>
      </c>
      <c r="AL20" s="111">
        <v>0</v>
      </c>
      <c r="AM20" s="111">
        <v>0</v>
      </c>
      <c r="AN20" s="111">
        <v>0</v>
      </c>
      <c r="AO20" s="111">
        <v>0</v>
      </c>
      <c r="AP20" s="111">
        <v>0</v>
      </c>
      <c r="AQ20" s="111">
        <v>0</v>
      </c>
      <c r="AR20" s="111">
        <v>0</v>
      </c>
      <c r="AS20" s="111">
        <v>0</v>
      </c>
      <c r="AT20" s="112">
        <v>0</v>
      </c>
    </row>
    <row r="21" spans="2:46" ht="12" customHeight="1" x14ac:dyDescent="0.3">
      <c r="B21" s="110" t="s">
        <v>22</v>
      </c>
      <c r="C21" s="111" t="s">
        <v>39</v>
      </c>
      <c r="D21" s="111" t="s">
        <v>24</v>
      </c>
      <c r="E21" s="111" t="s">
        <v>24</v>
      </c>
      <c r="F21" s="111" t="s">
        <v>25</v>
      </c>
      <c r="G21" s="111" t="s">
        <v>37</v>
      </c>
      <c r="H21" s="111" t="s">
        <v>69</v>
      </c>
      <c r="I21" s="111" t="s">
        <v>25</v>
      </c>
      <c r="J21" s="111">
        <v>1823.58</v>
      </c>
      <c r="K21" s="111">
        <v>124.87</v>
      </c>
      <c r="L21" s="111">
        <v>0</v>
      </c>
      <c r="M21" s="111">
        <v>2.1629228538445302</v>
      </c>
      <c r="N21" s="111">
        <v>0</v>
      </c>
      <c r="O21" s="111">
        <v>0</v>
      </c>
      <c r="P21" s="111">
        <v>0</v>
      </c>
      <c r="Q21" s="111">
        <v>90.390041028898594</v>
      </c>
      <c r="R21" s="111">
        <v>14.2759583225555</v>
      </c>
      <c r="S21" s="111">
        <v>0</v>
      </c>
      <c r="T21" s="111">
        <v>0</v>
      </c>
      <c r="U21" s="111">
        <v>0</v>
      </c>
      <c r="V21" s="111">
        <v>0</v>
      </c>
      <c r="W21" s="111">
        <v>0</v>
      </c>
      <c r="X21" s="111">
        <v>295.52152689342898</v>
      </c>
      <c r="Y21" s="111">
        <v>0</v>
      </c>
      <c r="Z21" s="111">
        <v>0</v>
      </c>
      <c r="AA21" s="111">
        <v>1399.5828436414299</v>
      </c>
      <c r="AB21" s="111">
        <v>0</v>
      </c>
      <c r="AC21" s="111">
        <v>0</v>
      </c>
      <c r="AD21" s="111">
        <v>0</v>
      </c>
      <c r="AE21" s="111">
        <v>21.650685326441099</v>
      </c>
      <c r="AF21" s="111">
        <v>0</v>
      </c>
      <c r="AG21" s="111">
        <v>0</v>
      </c>
      <c r="AH21" s="111">
        <v>0</v>
      </c>
      <c r="AI21" s="111">
        <v>0</v>
      </c>
      <c r="AJ21" s="111">
        <v>0</v>
      </c>
      <c r="AK21" s="111">
        <v>0</v>
      </c>
      <c r="AL21" s="111">
        <v>0</v>
      </c>
      <c r="AM21" s="111">
        <v>0</v>
      </c>
      <c r="AN21" s="111">
        <v>124.87025481095201</v>
      </c>
      <c r="AO21" s="111">
        <v>0</v>
      </c>
      <c r="AP21" s="111">
        <v>0</v>
      </c>
      <c r="AQ21" s="111">
        <v>0</v>
      </c>
      <c r="AR21" s="111">
        <v>0</v>
      </c>
      <c r="AS21" s="111">
        <v>0</v>
      </c>
      <c r="AT21" s="112">
        <v>0</v>
      </c>
    </row>
    <row r="22" spans="2:46" ht="12" customHeight="1" x14ac:dyDescent="0.3">
      <c r="B22" s="110" t="s">
        <v>22</v>
      </c>
      <c r="C22" s="111" t="s">
        <v>39</v>
      </c>
      <c r="D22" s="111" t="s">
        <v>24</v>
      </c>
      <c r="E22" s="111" t="s">
        <v>24</v>
      </c>
      <c r="F22" s="111" t="s">
        <v>25</v>
      </c>
      <c r="G22" s="111" t="s">
        <v>40</v>
      </c>
      <c r="H22" s="111" t="s">
        <v>69</v>
      </c>
      <c r="I22" s="111" t="s">
        <v>25</v>
      </c>
      <c r="J22" s="111">
        <v>1145.56</v>
      </c>
      <c r="K22" s="111">
        <v>124.87</v>
      </c>
      <c r="L22" s="111">
        <v>0</v>
      </c>
      <c r="M22" s="111">
        <v>2.1629228538445302</v>
      </c>
      <c r="N22" s="111">
        <v>0</v>
      </c>
      <c r="O22" s="111">
        <v>0</v>
      </c>
      <c r="P22" s="111">
        <v>0</v>
      </c>
      <c r="Q22" s="111">
        <v>90.390041028898594</v>
      </c>
      <c r="R22" s="111">
        <v>14.2759583225555</v>
      </c>
      <c r="S22" s="111">
        <v>0</v>
      </c>
      <c r="T22" s="111">
        <v>0</v>
      </c>
      <c r="U22" s="111">
        <v>0</v>
      </c>
      <c r="V22" s="111">
        <v>0</v>
      </c>
      <c r="W22" s="111">
        <v>0</v>
      </c>
      <c r="X22" s="111">
        <v>177.32539766717599</v>
      </c>
      <c r="Y22" s="111">
        <v>0</v>
      </c>
      <c r="Z22" s="111">
        <v>0</v>
      </c>
      <c r="AA22" s="111">
        <v>839.75005219316699</v>
      </c>
      <c r="AB22" s="111">
        <v>0</v>
      </c>
      <c r="AC22" s="111">
        <v>0</v>
      </c>
      <c r="AD22" s="111">
        <v>0</v>
      </c>
      <c r="AE22" s="111">
        <v>21.650685326441099</v>
      </c>
      <c r="AF22" s="111">
        <v>0</v>
      </c>
      <c r="AG22" s="111">
        <v>0</v>
      </c>
      <c r="AH22" s="111">
        <v>0</v>
      </c>
      <c r="AI22" s="111">
        <v>0</v>
      </c>
      <c r="AJ22" s="111">
        <v>0</v>
      </c>
      <c r="AK22" s="111">
        <v>0</v>
      </c>
      <c r="AL22" s="111">
        <v>0</v>
      </c>
      <c r="AM22" s="111">
        <v>0</v>
      </c>
      <c r="AN22" s="111">
        <v>124.87025481095201</v>
      </c>
      <c r="AO22" s="111">
        <v>0</v>
      </c>
      <c r="AP22" s="111">
        <v>0</v>
      </c>
      <c r="AQ22" s="111">
        <v>0</v>
      </c>
      <c r="AR22" s="111">
        <v>0</v>
      </c>
      <c r="AS22" s="111">
        <v>0</v>
      </c>
      <c r="AT22" s="112">
        <v>0</v>
      </c>
    </row>
    <row r="23" spans="2:46" ht="12" customHeight="1" x14ac:dyDescent="0.3">
      <c r="B23" s="110" t="s">
        <v>22</v>
      </c>
      <c r="C23" s="111" t="s">
        <v>39</v>
      </c>
      <c r="D23" s="111" t="s">
        <v>24</v>
      </c>
      <c r="E23" s="111" t="s">
        <v>24</v>
      </c>
      <c r="F23" s="111" t="s">
        <v>25</v>
      </c>
      <c r="G23" s="111" t="s">
        <v>38</v>
      </c>
      <c r="H23" s="111" t="s">
        <v>69</v>
      </c>
      <c r="I23" s="111" t="s">
        <v>25</v>
      </c>
      <c r="J23" s="111">
        <v>467.53</v>
      </c>
      <c r="K23" s="111">
        <v>124.87</v>
      </c>
      <c r="L23" s="111">
        <v>0</v>
      </c>
      <c r="M23" s="111">
        <v>2.1629228538445302</v>
      </c>
      <c r="N23" s="111">
        <v>0</v>
      </c>
      <c r="O23" s="111">
        <v>0</v>
      </c>
      <c r="P23" s="111">
        <v>0</v>
      </c>
      <c r="Q23" s="111">
        <v>90.390041028898594</v>
      </c>
      <c r="R23" s="111">
        <v>14.2759583225555</v>
      </c>
      <c r="S23" s="111">
        <v>0</v>
      </c>
      <c r="T23" s="111">
        <v>0</v>
      </c>
      <c r="U23" s="111">
        <v>0</v>
      </c>
      <c r="V23" s="111">
        <v>0</v>
      </c>
      <c r="W23" s="111">
        <v>0</v>
      </c>
      <c r="X23" s="111">
        <v>59.129166633981498</v>
      </c>
      <c r="Y23" s="111">
        <v>0</v>
      </c>
      <c r="Z23" s="111">
        <v>0</v>
      </c>
      <c r="AA23" s="111">
        <v>279.91665014200601</v>
      </c>
      <c r="AB23" s="111">
        <v>0</v>
      </c>
      <c r="AC23" s="111">
        <v>0</v>
      </c>
      <c r="AD23" s="111">
        <v>0</v>
      </c>
      <c r="AE23" s="111">
        <v>21.650685326441099</v>
      </c>
      <c r="AF23" s="111">
        <v>0</v>
      </c>
      <c r="AG23" s="111">
        <v>0</v>
      </c>
      <c r="AH23" s="111">
        <v>0</v>
      </c>
      <c r="AI23" s="111">
        <v>0</v>
      </c>
      <c r="AJ23" s="111">
        <v>0</v>
      </c>
      <c r="AK23" s="111">
        <v>0</v>
      </c>
      <c r="AL23" s="111">
        <v>0</v>
      </c>
      <c r="AM23" s="111">
        <v>0</v>
      </c>
      <c r="AN23" s="111">
        <v>124.87025481095201</v>
      </c>
      <c r="AO23" s="111">
        <v>0</v>
      </c>
      <c r="AP23" s="111">
        <v>0</v>
      </c>
      <c r="AQ23" s="111">
        <v>0</v>
      </c>
      <c r="AR23" s="111">
        <v>0</v>
      </c>
      <c r="AS23" s="111">
        <v>0</v>
      </c>
      <c r="AT23" s="112">
        <v>0</v>
      </c>
    </row>
    <row r="24" spans="2:46" ht="12" customHeight="1" x14ac:dyDescent="0.3">
      <c r="B24" s="110" t="s">
        <v>22</v>
      </c>
      <c r="C24" s="111" t="s">
        <v>23</v>
      </c>
      <c r="D24" s="111" t="s">
        <v>24</v>
      </c>
      <c r="E24" s="111" t="s">
        <v>748</v>
      </c>
      <c r="F24" s="111" t="s">
        <v>25</v>
      </c>
      <c r="G24" s="111" t="s">
        <v>25</v>
      </c>
      <c r="H24" s="111" t="s">
        <v>69</v>
      </c>
      <c r="I24" s="111" t="s">
        <v>25</v>
      </c>
      <c r="J24" s="111">
        <v>651.66</v>
      </c>
      <c r="K24" s="111">
        <v>124.87</v>
      </c>
      <c r="L24" s="111">
        <v>0</v>
      </c>
      <c r="M24" s="111">
        <v>2.1629228538445302</v>
      </c>
      <c r="N24" s="111">
        <v>0</v>
      </c>
      <c r="O24" s="111">
        <v>0</v>
      </c>
      <c r="P24" s="111">
        <v>0</v>
      </c>
      <c r="Q24" s="111">
        <v>0</v>
      </c>
      <c r="R24" s="111">
        <v>0</v>
      </c>
      <c r="S24" s="111">
        <v>0</v>
      </c>
      <c r="T24" s="111">
        <v>0</v>
      </c>
      <c r="U24" s="111">
        <v>0</v>
      </c>
      <c r="V24" s="111">
        <v>0</v>
      </c>
      <c r="W24" s="111">
        <v>0</v>
      </c>
      <c r="X24" s="111">
        <v>109.48237123272099</v>
      </c>
      <c r="Y24" s="111">
        <v>0</v>
      </c>
      <c r="Z24" s="111">
        <v>0</v>
      </c>
      <c r="AA24" s="111">
        <v>518.36410285402803</v>
      </c>
      <c r="AB24" s="111">
        <v>0</v>
      </c>
      <c r="AC24" s="111">
        <v>0</v>
      </c>
      <c r="AD24" s="111">
        <v>0</v>
      </c>
      <c r="AE24" s="111">
        <v>21.650685326441099</v>
      </c>
      <c r="AF24" s="111">
        <v>0</v>
      </c>
      <c r="AG24" s="111">
        <v>0</v>
      </c>
      <c r="AH24" s="111">
        <v>0</v>
      </c>
      <c r="AI24" s="111">
        <v>0</v>
      </c>
      <c r="AJ24" s="111">
        <v>0</v>
      </c>
      <c r="AK24" s="111">
        <v>0</v>
      </c>
      <c r="AL24" s="111">
        <v>0</v>
      </c>
      <c r="AM24" s="111">
        <v>0</v>
      </c>
      <c r="AN24" s="111">
        <v>124.87025481095201</v>
      </c>
      <c r="AO24" s="111">
        <v>0</v>
      </c>
      <c r="AP24" s="111">
        <v>0</v>
      </c>
      <c r="AQ24" s="111">
        <v>0</v>
      </c>
      <c r="AR24" s="111">
        <v>0</v>
      </c>
      <c r="AS24" s="111">
        <v>0</v>
      </c>
      <c r="AT24" s="112">
        <v>0</v>
      </c>
    </row>
    <row r="25" spans="2:46" ht="12" customHeight="1" x14ac:dyDescent="0.3">
      <c r="B25" s="110" t="s">
        <v>22</v>
      </c>
      <c r="C25" s="111" t="s">
        <v>23</v>
      </c>
      <c r="D25" s="111" t="s">
        <v>24</v>
      </c>
      <c r="E25" s="111" t="s">
        <v>24</v>
      </c>
      <c r="F25" s="111" t="s">
        <v>25</v>
      </c>
      <c r="G25" s="111" t="s">
        <v>25</v>
      </c>
      <c r="H25" s="111" t="s">
        <v>69</v>
      </c>
      <c r="I25" s="111" t="s">
        <v>25</v>
      </c>
      <c r="J25" s="111">
        <v>756.33</v>
      </c>
      <c r="K25" s="111">
        <v>124.87</v>
      </c>
      <c r="L25" s="111">
        <v>0</v>
      </c>
      <c r="M25" s="111">
        <v>2.1629228538445302</v>
      </c>
      <c r="N25" s="111">
        <v>0</v>
      </c>
      <c r="O25" s="111">
        <v>0</v>
      </c>
      <c r="P25" s="111">
        <v>0</v>
      </c>
      <c r="Q25" s="111">
        <v>90.390041028898594</v>
      </c>
      <c r="R25" s="111">
        <v>14.2759583225555</v>
      </c>
      <c r="S25" s="111">
        <v>0</v>
      </c>
      <c r="T25" s="111">
        <v>0</v>
      </c>
      <c r="U25" s="111">
        <v>0</v>
      </c>
      <c r="V25" s="111">
        <v>0</v>
      </c>
      <c r="W25" s="111">
        <v>0</v>
      </c>
      <c r="X25" s="111">
        <v>109.48237123272099</v>
      </c>
      <c r="Y25" s="111">
        <v>0</v>
      </c>
      <c r="Z25" s="111">
        <v>0</v>
      </c>
      <c r="AA25" s="111">
        <v>518.36410285402803</v>
      </c>
      <c r="AB25" s="111">
        <v>0</v>
      </c>
      <c r="AC25" s="111">
        <v>0</v>
      </c>
      <c r="AD25" s="111">
        <v>0</v>
      </c>
      <c r="AE25" s="111">
        <v>21.650685326441099</v>
      </c>
      <c r="AF25" s="111">
        <v>0</v>
      </c>
      <c r="AG25" s="111">
        <v>0</v>
      </c>
      <c r="AH25" s="111">
        <v>0</v>
      </c>
      <c r="AI25" s="111">
        <v>0</v>
      </c>
      <c r="AJ25" s="111">
        <v>0</v>
      </c>
      <c r="AK25" s="111">
        <v>0</v>
      </c>
      <c r="AL25" s="111">
        <v>0</v>
      </c>
      <c r="AM25" s="111">
        <v>0</v>
      </c>
      <c r="AN25" s="111">
        <v>124.87025481095201</v>
      </c>
      <c r="AO25" s="111">
        <v>0</v>
      </c>
      <c r="AP25" s="111">
        <v>0</v>
      </c>
      <c r="AQ25" s="111">
        <v>0</v>
      </c>
      <c r="AR25" s="111">
        <v>0</v>
      </c>
      <c r="AS25" s="111">
        <v>0</v>
      </c>
      <c r="AT25" s="112">
        <v>0</v>
      </c>
    </row>
    <row r="26" spans="2:46" ht="12" customHeight="1" x14ac:dyDescent="0.3">
      <c r="B26" s="110" t="s">
        <v>22</v>
      </c>
      <c r="C26" s="111" t="s">
        <v>84</v>
      </c>
      <c r="D26" s="111" t="s">
        <v>24</v>
      </c>
      <c r="E26" s="111" t="s">
        <v>748</v>
      </c>
      <c r="F26" s="111" t="s">
        <v>25</v>
      </c>
      <c r="G26" s="111" t="s">
        <v>25</v>
      </c>
      <c r="H26" s="111" t="s">
        <v>69</v>
      </c>
      <c r="I26" s="111" t="s">
        <v>25</v>
      </c>
      <c r="J26" s="111">
        <v>651.66</v>
      </c>
      <c r="K26" s="111">
        <v>124.87</v>
      </c>
      <c r="L26" s="111">
        <v>0</v>
      </c>
      <c r="M26" s="111">
        <v>2.1629228538445302</v>
      </c>
      <c r="N26" s="111">
        <v>0</v>
      </c>
      <c r="O26" s="111">
        <v>0</v>
      </c>
      <c r="P26" s="111">
        <v>0</v>
      </c>
      <c r="Q26" s="111">
        <v>0</v>
      </c>
      <c r="R26" s="111">
        <v>0</v>
      </c>
      <c r="S26" s="111">
        <v>0</v>
      </c>
      <c r="T26" s="111">
        <v>0</v>
      </c>
      <c r="U26" s="111">
        <v>0</v>
      </c>
      <c r="V26" s="111">
        <v>0</v>
      </c>
      <c r="W26" s="111">
        <v>0</v>
      </c>
      <c r="X26" s="111">
        <v>109.48237123272099</v>
      </c>
      <c r="Y26" s="111">
        <v>0</v>
      </c>
      <c r="Z26" s="111">
        <v>0</v>
      </c>
      <c r="AA26" s="111">
        <v>518.36410285402803</v>
      </c>
      <c r="AB26" s="111">
        <v>0</v>
      </c>
      <c r="AC26" s="111">
        <v>0</v>
      </c>
      <c r="AD26" s="111">
        <v>0</v>
      </c>
      <c r="AE26" s="111">
        <v>21.650685326441099</v>
      </c>
      <c r="AF26" s="111">
        <v>0</v>
      </c>
      <c r="AG26" s="111">
        <v>0</v>
      </c>
      <c r="AH26" s="111">
        <v>0</v>
      </c>
      <c r="AI26" s="111">
        <v>0</v>
      </c>
      <c r="AJ26" s="111">
        <v>0</v>
      </c>
      <c r="AK26" s="111">
        <v>0</v>
      </c>
      <c r="AL26" s="111">
        <v>0</v>
      </c>
      <c r="AM26" s="111">
        <v>0</v>
      </c>
      <c r="AN26" s="111">
        <v>124.87025481095201</v>
      </c>
      <c r="AO26" s="111">
        <v>0</v>
      </c>
      <c r="AP26" s="111">
        <v>0</v>
      </c>
      <c r="AQ26" s="111">
        <v>0</v>
      </c>
      <c r="AR26" s="111">
        <v>0</v>
      </c>
      <c r="AS26" s="111">
        <v>0</v>
      </c>
      <c r="AT26" s="112">
        <v>0</v>
      </c>
    </row>
    <row r="27" spans="2:46" ht="12" customHeight="1" x14ac:dyDescent="0.3">
      <c r="B27" s="110" t="s">
        <v>22</v>
      </c>
      <c r="C27" s="111" t="s">
        <v>84</v>
      </c>
      <c r="D27" s="111" t="s">
        <v>24</v>
      </c>
      <c r="E27" s="111" t="s">
        <v>24</v>
      </c>
      <c r="F27" s="111" t="s">
        <v>25</v>
      </c>
      <c r="G27" s="111" t="s">
        <v>25</v>
      </c>
      <c r="H27" s="111" t="s">
        <v>69</v>
      </c>
      <c r="I27" s="111" t="s">
        <v>25</v>
      </c>
      <c r="J27" s="111">
        <v>756.33</v>
      </c>
      <c r="K27" s="111">
        <v>124.87</v>
      </c>
      <c r="L27" s="111">
        <v>0</v>
      </c>
      <c r="M27" s="111">
        <v>2.1629228538445302</v>
      </c>
      <c r="N27" s="111">
        <v>0</v>
      </c>
      <c r="O27" s="111">
        <v>0</v>
      </c>
      <c r="P27" s="111">
        <v>0</v>
      </c>
      <c r="Q27" s="111">
        <v>90.390041028898594</v>
      </c>
      <c r="R27" s="111">
        <v>14.2759583225555</v>
      </c>
      <c r="S27" s="111">
        <v>0</v>
      </c>
      <c r="T27" s="111">
        <v>0</v>
      </c>
      <c r="U27" s="111">
        <v>0</v>
      </c>
      <c r="V27" s="111">
        <v>0</v>
      </c>
      <c r="W27" s="111">
        <v>0</v>
      </c>
      <c r="X27" s="111">
        <v>109.48237123272099</v>
      </c>
      <c r="Y27" s="111">
        <v>0</v>
      </c>
      <c r="Z27" s="111">
        <v>0</v>
      </c>
      <c r="AA27" s="111">
        <v>518.36410285402803</v>
      </c>
      <c r="AB27" s="111">
        <v>0</v>
      </c>
      <c r="AC27" s="111">
        <v>0</v>
      </c>
      <c r="AD27" s="111">
        <v>0</v>
      </c>
      <c r="AE27" s="111">
        <v>21.650685326441099</v>
      </c>
      <c r="AF27" s="111">
        <v>0</v>
      </c>
      <c r="AG27" s="111">
        <v>0</v>
      </c>
      <c r="AH27" s="111">
        <v>0</v>
      </c>
      <c r="AI27" s="111">
        <v>0</v>
      </c>
      <c r="AJ27" s="111">
        <v>0</v>
      </c>
      <c r="AK27" s="111">
        <v>0</v>
      </c>
      <c r="AL27" s="111">
        <v>0</v>
      </c>
      <c r="AM27" s="111">
        <v>0</v>
      </c>
      <c r="AN27" s="111">
        <v>124.87025481095201</v>
      </c>
      <c r="AO27" s="111">
        <v>0</v>
      </c>
      <c r="AP27" s="111">
        <v>0</v>
      </c>
      <c r="AQ27" s="111">
        <v>0</v>
      </c>
      <c r="AR27" s="111">
        <v>0</v>
      </c>
      <c r="AS27" s="111">
        <v>0</v>
      </c>
      <c r="AT27" s="112">
        <v>0</v>
      </c>
    </row>
    <row r="28" spans="2:46" ht="12" customHeight="1" x14ac:dyDescent="0.3">
      <c r="B28" s="110" t="s">
        <v>42</v>
      </c>
      <c r="C28" s="111" t="s">
        <v>39</v>
      </c>
      <c r="D28" s="111" t="s">
        <v>43</v>
      </c>
      <c r="E28" s="111" t="s">
        <v>85</v>
      </c>
      <c r="F28" s="111" t="s">
        <v>25</v>
      </c>
      <c r="G28" s="111" t="s">
        <v>37</v>
      </c>
      <c r="H28" s="111" t="s">
        <v>69</v>
      </c>
      <c r="I28" s="111" t="s">
        <v>25</v>
      </c>
      <c r="J28" s="111">
        <v>1861.73</v>
      </c>
      <c r="K28" s="111">
        <v>117.38</v>
      </c>
      <c r="L28" s="111">
        <v>0</v>
      </c>
      <c r="M28" s="111">
        <v>2.03314748261386</v>
      </c>
      <c r="N28" s="111">
        <v>0</v>
      </c>
      <c r="O28" s="111">
        <v>0</v>
      </c>
      <c r="P28" s="111">
        <v>0</v>
      </c>
      <c r="Q28" s="111">
        <v>84.966638567164594</v>
      </c>
      <c r="R28" s="111">
        <v>13.419400823202199</v>
      </c>
      <c r="S28" s="111">
        <v>0</v>
      </c>
      <c r="T28" s="111">
        <v>0</v>
      </c>
      <c r="U28" s="111">
        <v>0</v>
      </c>
      <c r="V28" s="111">
        <v>0</v>
      </c>
      <c r="W28" s="111">
        <v>0</v>
      </c>
      <c r="X28" s="111">
        <v>303.53323439394597</v>
      </c>
      <c r="Y28" s="111">
        <v>0</v>
      </c>
      <c r="Z28" s="111">
        <v>0</v>
      </c>
      <c r="AA28" s="111">
        <v>1437.4236046005999</v>
      </c>
      <c r="AB28" s="111">
        <v>0</v>
      </c>
      <c r="AC28" s="111">
        <v>0</v>
      </c>
      <c r="AD28" s="111">
        <v>0</v>
      </c>
      <c r="AE28" s="111">
        <v>20.351644206854601</v>
      </c>
      <c r="AF28" s="111">
        <v>0</v>
      </c>
      <c r="AG28" s="111">
        <v>0</v>
      </c>
      <c r="AH28" s="111">
        <v>0</v>
      </c>
      <c r="AI28" s="111">
        <v>0</v>
      </c>
      <c r="AJ28" s="111">
        <v>0</v>
      </c>
      <c r="AK28" s="111">
        <v>0</v>
      </c>
      <c r="AL28" s="111">
        <v>0</v>
      </c>
      <c r="AM28" s="111">
        <v>0</v>
      </c>
      <c r="AN28" s="111">
        <v>117.378039522295</v>
      </c>
      <c r="AO28" s="111">
        <v>0</v>
      </c>
      <c r="AP28" s="111">
        <v>0</v>
      </c>
      <c r="AQ28" s="111">
        <v>0</v>
      </c>
      <c r="AR28" s="111">
        <v>0</v>
      </c>
      <c r="AS28" s="111">
        <v>0</v>
      </c>
      <c r="AT28" s="112">
        <v>0</v>
      </c>
    </row>
    <row r="29" spans="2:46" ht="12" customHeight="1" x14ac:dyDescent="0.3">
      <c r="B29" s="110" t="s">
        <v>42</v>
      </c>
      <c r="C29" s="111" t="s">
        <v>39</v>
      </c>
      <c r="D29" s="111" t="s">
        <v>43</v>
      </c>
      <c r="E29" s="111" t="s">
        <v>85</v>
      </c>
      <c r="F29" s="111" t="s">
        <v>25</v>
      </c>
      <c r="G29" s="111" t="s">
        <v>40</v>
      </c>
      <c r="H29" s="111" t="s">
        <v>69</v>
      </c>
      <c r="I29" s="111" t="s">
        <v>25</v>
      </c>
      <c r="J29" s="111">
        <v>1165.3</v>
      </c>
      <c r="K29" s="111">
        <v>117.38</v>
      </c>
      <c r="L29" s="111">
        <v>0</v>
      </c>
      <c r="M29" s="111">
        <v>2.03314748261386</v>
      </c>
      <c r="N29" s="111">
        <v>0</v>
      </c>
      <c r="O29" s="111">
        <v>0</v>
      </c>
      <c r="P29" s="111">
        <v>0</v>
      </c>
      <c r="Q29" s="111">
        <v>84.966638567164594</v>
      </c>
      <c r="R29" s="111">
        <v>13.419400823202199</v>
      </c>
      <c r="S29" s="111">
        <v>0</v>
      </c>
      <c r="T29" s="111">
        <v>0</v>
      </c>
      <c r="U29" s="111">
        <v>0</v>
      </c>
      <c r="V29" s="111">
        <v>0</v>
      </c>
      <c r="W29" s="111">
        <v>0</v>
      </c>
      <c r="X29" s="111">
        <v>182.07314405729599</v>
      </c>
      <c r="Y29" s="111">
        <v>0</v>
      </c>
      <c r="Z29" s="111">
        <v>0</v>
      </c>
      <c r="AA29" s="111">
        <v>862.454545404844</v>
      </c>
      <c r="AB29" s="111">
        <v>0</v>
      </c>
      <c r="AC29" s="111">
        <v>0</v>
      </c>
      <c r="AD29" s="111">
        <v>0</v>
      </c>
      <c r="AE29" s="111">
        <v>20.351644206854601</v>
      </c>
      <c r="AF29" s="111">
        <v>0</v>
      </c>
      <c r="AG29" s="111">
        <v>0</v>
      </c>
      <c r="AH29" s="111">
        <v>0</v>
      </c>
      <c r="AI29" s="111">
        <v>0</v>
      </c>
      <c r="AJ29" s="111">
        <v>0</v>
      </c>
      <c r="AK29" s="111">
        <v>0</v>
      </c>
      <c r="AL29" s="111">
        <v>0</v>
      </c>
      <c r="AM29" s="111">
        <v>0</v>
      </c>
      <c r="AN29" s="111">
        <v>117.378039522295</v>
      </c>
      <c r="AO29" s="111">
        <v>0</v>
      </c>
      <c r="AP29" s="111">
        <v>0</v>
      </c>
      <c r="AQ29" s="111">
        <v>0</v>
      </c>
      <c r="AR29" s="111">
        <v>0</v>
      </c>
      <c r="AS29" s="111">
        <v>0</v>
      </c>
      <c r="AT29" s="112">
        <v>0</v>
      </c>
    </row>
    <row r="30" spans="2:46" ht="12" customHeight="1" x14ac:dyDescent="0.3">
      <c r="B30" s="110" t="s">
        <v>42</v>
      </c>
      <c r="C30" s="111" t="s">
        <v>39</v>
      </c>
      <c r="D30" s="111" t="s">
        <v>43</v>
      </c>
      <c r="E30" s="111" t="s">
        <v>85</v>
      </c>
      <c r="F30" s="111" t="s">
        <v>25</v>
      </c>
      <c r="G30" s="111" t="s">
        <v>38</v>
      </c>
      <c r="H30" s="111" t="s">
        <v>69</v>
      </c>
      <c r="I30" s="111" t="s">
        <v>25</v>
      </c>
      <c r="J30" s="111">
        <v>468.99</v>
      </c>
      <c r="K30" s="111">
        <v>117.38</v>
      </c>
      <c r="L30" s="111">
        <v>0</v>
      </c>
      <c r="M30" s="111">
        <v>2.03314748261386</v>
      </c>
      <c r="N30" s="111">
        <v>0</v>
      </c>
      <c r="O30" s="111">
        <v>0</v>
      </c>
      <c r="P30" s="111">
        <v>0</v>
      </c>
      <c r="Q30" s="111">
        <v>84.966638567164594</v>
      </c>
      <c r="R30" s="111">
        <v>13.419400823202199</v>
      </c>
      <c r="S30" s="111">
        <v>0</v>
      </c>
      <c r="T30" s="111">
        <v>0</v>
      </c>
      <c r="U30" s="111">
        <v>0</v>
      </c>
      <c r="V30" s="111">
        <v>0</v>
      </c>
      <c r="W30" s="111">
        <v>0</v>
      </c>
      <c r="X30" s="111">
        <v>60.730093017587798</v>
      </c>
      <c r="Y30" s="111">
        <v>0</v>
      </c>
      <c r="Z30" s="111">
        <v>0</v>
      </c>
      <c r="AA30" s="111">
        <v>287.48452959788</v>
      </c>
      <c r="AB30" s="111">
        <v>0</v>
      </c>
      <c r="AC30" s="111">
        <v>0</v>
      </c>
      <c r="AD30" s="111">
        <v>0</v>
      </c>
      <c r="AE30" s="111">
        <v>20.351644206854601</v>
      </c>
      <c r="AF30" s="111">
        <v>0</v>
      </c>
      <c r="AG30" s="111">
        <v>0</v>
      </c>
      <c r="AH30" s="111">
        <v>0</v>
      </c>
      <c r="AI30" s="111">
        <v>0</v>
      </c>
      <c r="AJ30" s="111">
        <v>0</v>
      </c>
      <c r="AK30" s="111">
        <v>0</v>
      </c>
      <c r="AL30" s="111">
        <v>0</v>
      </c>
      <c r="AM30" s="111">
        <v>0</v>
      </c>
      <c r="AN30" s="111">
        <v>117.378039522295</v>
      </c>
      <c r="AO30" s="111">
        <v>0</v>
      </c>
      <c r="AP30" s="111">
        <v>0</v>
      </c>
      <c r="AQ30" s="111">
        <v>0</v>
      </c>
      <c r="AR30" s="111">
        <v>0</v>
      </c>
      <c r="AS30" s="111">
        <v>0</v>
      </c>
      <c r="AT30" s="112">
        <v>0</v>
      </c>
    </row>
    <row r="31" spans="2:46" ht="12" customHeight="1" x14ac:dyDescent="0.3">
      <c r="B31" s="110" t="s">
        <v>42</v>
      </c>
      <c r="C31" s="111" t="s">
        <v>39</v>
      </c>
      <c r="D31" s="111" t="s">
        <v>43</v>
      </c>
      <c r="E31" s="111" t="s">
        <v>25</v>
      </c>
      <c r="F31" s="111" t="s">
        <v>25</v>
      </c>
      <c r="G31" s="111" t="s">
        <v>37</v>
      </c>
      <c r="H31" s="111" t="s">
        <v>69</v>
      </c>
      <c r="I31" s="111" t="s">
        <v>25</v>
      </c>
      <c r="J31" s="111">
        <v>1861.73</v>
      </c>
      <c r="K31" s="111">
        <v>117.38</v>
      </c>
      <c r="L31" s="111">
        <v>0</v>
      </c>
      <c r="M31" s="111">
        <v>2.03314748261386</v>
      </c>
      <c r="N31" s="111">
        <v>0</v>
      </c>
      <c r="O31" s="111">
        <v>0</v>
      </c>
      <c r="P31" s="111">
        <v>0</v>
      </c>
      <c r="Q31" s="111">
        <v>84.966638567164594</v>
      </c>
      <c r="R31" s="111">
        <v>13.419400823202199</v>
      </c>
      <c r="S31" s="111">
        <v>0</v>
      </c>
      <c r="T31" s="111">
        <v>0</v>
      </c>
      <c r="U31" s="111">
        <v>0</v>
      </c>
      <c r="V31" s="111">
        <v>0</v>
      </c>
      <c r="W31" s="111">
        <v>0</v>
      </c>
      <c r="X31" s="111">
        <v>303.53323439394597</v>
      </c>
      <c r="Y31" s="111">
        <v>0</v>
      </c>
      <c r="Z31" s="111">
        <v>0</v>
      </c>
      <c r="AA31" s="111">
        <v>1437.4236046005999</v>
      </c>
      <c r="AB31" s="111">
        <v>0</v>
      </c>
      <c r="AC31" s="111">
        <v>0</v>
      </c>
      <c r="AD31" s="111">
        <v>0</v>
      </c>
      <c r="AE31" s="111">
        <v>20.351644206854601</v>
      </c>
      <c r="AF31" s="111">
        <v>0</v>
      </c>
      <c r="AG31" s="111">
        <v>0</v>
      </c>
      <c r="AH31" s="111">
        <v>0</v>
      </c>
      <c r="AI31" s="111">
        <v>0</v>
      </c>
      <c r="AJ31" s="111">
        <v>0</v>
      </c>
      <c r="AK31" s="111">
        <v>0</v>
      </c>
      <c r="AL31" s="111">
        <v>0</v>
      </c>
      <c r="AM31" s="111">
        <v>0</v>
      </c>
      <c r="AN31" s="111">
        <v>117.378039522295</v>
      </c>
      <c r="AO31" s="111">
        <v>0</v>
      </c>
      <c r="AP31" s="111">
        <v>0</v>
      </c>
      <c r="AQ31" s="111">
        <v>0</v>
      </c>
      <c r="AR31" s="111">
        <v>0</v>
      </c>
      <c r="AS31" s="111">
        <v>0</v>
      </c>
      <c r="AT31" s="112">
        <v>0</v>
      </c>
    </row>
    <row r="32" spans="2:46" ht="12" customHeight="1" x14ac:dyDescent="0.3">
      <c r="B32" s="110" t="s">
        <v>42</v>
      </c>
      <c r="C32" s="111" t="s">
        <v>39</v>
      </c>
      <c r="D32" s="111" t="s">
        <v>43</v>
      </c>
      <c r="E32" s="111" t="s">
        <v>25</v>
      </c>
      <c r="F32" s="111" t="s">
        <v>25</v>
      </c>
      <c r="G32" s="111" t="s">
        <v>40</v>
      </c>
      <c r="H32" s="111" t="s">
        <v>69</v>
      </c>
      <c r="I32" s="111" t="s">
        <v>25</v>
      </c>
      <c r="J32" s="111">
        <v>1165.3</v>
      </c>
      <c r="K32" s="111">
        <v>117.38</v>
      </c>
      <c r="L32" s="111">
        <v>0</v>
      </c>
      <c r="M32" s="111">
        <v>2.03314748261386</v>
      </c>
      <c r="N32" s="111">
        <v>0</v>
      </c>
      <c r="O32" s="111">
        <v>0</v>
      </c>
      <c r="P32" s="111">
        <v>0</v>
      </c>
      <c r="Q32" s="111">
        <v>84.966638567164594</v>
      </c>
      <c r="R32" s="111">
        <v>13.419400823202199</v>
      </c>
      <c r="S32" s="111">
        <v>0</v>
      </c>
      <c r="T32" s="111">
        <v>0</v>
      </c>
      <c r="U32" s="111">
        <v>0</v>
      </c>
      <c r="V32" s="111">
        <v>0</v>
      </c>
      <c r="W32" s="111">
        <v>0</v>
      </c>
      <c r="X32" s="111">
        <v>182.07314405729599</v>
      </c>
      <c r="Y32" s="111">
        <v>0</v>
      </c>
      <c r="Z32" s="111">
        <v>0</v>
      </c>
      <c r="AA32" s="111">
        <v>862.454545404844</v>
      </c>
      <c r="AB32" s="111">
        <v>0</v>
      </c>
      <c r="AC32" s="111">
        <v>0</v>
      </c>
      <c r="AD32" s="111">
        <v>0</v>
      </c>
      <c r="AE32" s="111">
        <v>20.351644206854601</v>
      </c>
      <c r="AF32" s="111">
        <v>0</v>
      </c>
      <c r="AG32" s="111">
        <v>0</v>
      </c>
      <c r="AH32" s="111">
        <v>0</v>
      </c>
      <c r="AI32" s="111">
        <v>0</v>
      </c>
      <c r="AJ32" s="111">
        <v>0</v>
      </c>
      <c r="AK32" s="111">
        <v>0</v>
      </c>
      <c r="AL32" s="111">
        <v>0</v>
      </c>
      <c r="AM32" s="111">
        <v>0</v>
      </c>
      <c r="AN32" s="111">
        <v>117.378039522295</v>
      </c>
      <c r="AO32" s="111">
        <v>0</v>
      </c>
      <c r="AP32" s="111">
        <v>0</v>
      </c>
      <c r="AQ32" s="111">
        <v>0</v>
      </c>
      <c r="AR32" s="111">
        <v>0</v>
      </c>
      <c r="AS32" s="111">
        <v>0</v>
      </c>
      <c r="AT32" s="112">
        <v>0</v>
      </c>
    </row>
    <row r="33" spans="2:46" ht="12" customHeight="1" x14ac:dyDescent="0.3">
      <c r="B33" s="110" t="s">
        <v>42</v>
      </c>
      <c r="C33" s="111" t="s">
        <v>39</v>
      </c>
      <c r="D33" s="111" t="s">
        <v>43</v>
      </c>
      <c r="E33" s="111" t="s">
        <v>25</v>
      </c>
      <c r="F33" s="111" t="s">
        <v>25</v>
      </c>
      <c r="G33" s="111" t="s">
        <v>38</v>
      </c>
      <c r="H33" s="111" t="s">
        <v>69</v>
      </c>
      <c r="I33" s="111" t="s">
        <v>25</v>
      </c>
      <c r="J33" s="111">
        <v>468.99</v>
      </c>
      <c r="K33" s="111">
        <v>117.38</v>
      </c>
      <c r="L33" s="111">
        <v>0</v>
      </c>
      <c r="M33" s="111">
        <v>2.03314748261386</v>
      </c>
      <c r="N33" s="111">
        <v>0</v>
      </c>
      <c r="O33" s="111">
        <v>0</v>
      </c>
      <c r="P33" s="111">
        <v>0</v>
      </c>
      <c r="Q33" s="111">
        <v>84.966638567164594</v>
      </c>
      <c r="R33" s="111">
        <v>13.419400823202199</v>
      </c>
      <c r="S33" s="111">
        <v>0</v>
      </c>
      <c r="T33" s="111">
        <v>0</v>
      </c>
      <c r="U33" s="111">
        <v>0</v>
      </c>
      <c r="V33" s="111">
        <v>0</v>
      </c>
      <c r="W33" s="111">
        <v>0</v>
      </c>
      <c r="X33" s="111">
        <v>60.730093017587798</v>
      </c>
      <c r="Y33" s="111">
        <v>0</v>
      </c>
      <c r="Z33" s="111">
        <v>0</v>
      </c>
      <c r="AA33" s="111">
        <v>287.48452959788</v>
      </c>
      <c r="AB33" s="111">
        <v>0</v>
      </c>
      <c r="AC33" s="111">
        <v>0</v>
      </c>
      <c r="AD33" s="111">
        <v>0</v>
      </c>
      <c r="AE33" s="111">
        <v>20.351644206854601</v>
      </c>
      <c r="AF33" s="111">
        <v>0</v>
      </c>
      <c r="AG33" s="111">
        <v>0</v>
      </c>
      <c r="AH33" s="111">
        <v>0</v>
      </c>
      <c r="AI33" s="111">
        <v>0</v>
      </c>
      <c r="AJ33" s="111">
        <v>0</v>
      </c>
      <c r="AK33" s="111">
        <v>0</v>
      </c>
      <c r="AL33" s="111">
        <v>0</v>
      </c>
      <c r="AM33" s="111">
        <v>0</v>
      </c>
      <c r="AN33" s="111">
        <v>117.378039522295</v>
      </c>
      <c r="AO33" s="111">
        <v>0</v>
      </c>
      <c r="AP33" s="111">
        <v>0</v>
      </c>
      <c r="AQ33" s="111">
        <v>0</v>
      </c>
      <c r="AR33" s="111">
        <v>0</v>
      </c>
      <c r="AS33" s="111">
        <v>0</v>
      </c>
      <c r="AT33" s="112">
        <v>0</v>
      </c>
    </row>
    <row r="34" spans="2:46" ht="12" customHeight="1" x14ac:dyDescent="0.3">
      <c r="B34" s="110" t="s">
        <v>42</v>
      </c>
      <c r="C34" s="111" t="s">
        <v>39</v>
      </c>
      <c r="D34" s="111" t="s">
        <v>43</v>
      </c>
      <c r="E34" s="111" t="s">
        <v>86</v>
      </c>
      <c r="F34" s="111" t="s">
        <v>25</v>
      </c>
      <c r="G34" s="111" t="s">
        <v>37</v>
      </c>
      <c r="H34" s="111" t="s">
        <v>69</v>
      </c>
      <c r="I34" s="111" t="s">
        <v>25</v>
      </c>
      <c r="J34" s="111">
        <v>1822.12</v>
      </c>
      <c r="K34" s="111">
        <v>114.88</v>
      </c>
      <c r="L34" s="111">
        <v>0</v>
      </c>
      <c r="M34" s="111">
        <v>1.9898890255369699</v>
      </c>
      <c r="N34" s="111">
        <v>0</v>
      </c>
      <c r="O34" s="111">
        <v>0</v>
      </c>
      <c r="P34" s="111">
        <v>0</v>
      </c>
      <c r="Q34" s="111">
        <v>83.158837746586698</v>
      </c>
      <c r="R34" s="111">
        <v>13.1338816567511</v>
      </c>
      <c r="S34" s="111">
        <v>0</v>
      </c>
      <c r="T34" s="111">
        <v>0</v>
      </c>
      <c r="U34" s="111">
        <v>0</v>
      </c>
      <c r="V34" s="111">
        <v>0</v>
      </c>
      <c r="W34" s="111">
        <v>0</v>
      </c>
      <c r="X34" s="111">
        <v>297.07508047067103</v>
      </c>
      <c r="Y34" s="111">
        <v>0</v>
      </c>
      <c r="Z34" s="111">
        <v>0</v>
      </c>
      <c r="AA34" s="111">
        <v>1406.8401236516499</v>
      </c>
      <c r="AB34" s="111">
        <v>0</v>
      </c>
      <c r="AC34" s="111">
        <v>0</v>
      </c>
      <c r="AD34" s="111">
        <v>0</v>
      </c>
      <c r="AE34" s="111">
        <v>19.918630500325801</v>
      </c>
      <c r="AF34" s="111">
        <v>0</v>
      </c>
      <c r="AG34" s="111">
        <v>0</v>
      </c>
      <c r="AH34" s="111">
        <v>0</v>
      </c>
      <c r="AI34" s="111">
        <v>0</v>
      </c>
      <c r="AJ34" s="111">
        <v>0</v>
      </c>
      <c r="AK34" s="111">
        <v>0</v>
      </c>
      <c r="AL34" s="111">
        <v>0</v>
      </c>
      <c r="AM34" s="111">
        <v>0</v>
      </c>
      <c r="AN34" s="111">
        <v>114.880634426076</v>
      </c>
      <c r="AO34" s="111">
        <v>0</v>
      </c>
      <c r="AP34" s="111">
        <v>0</v>
      </c>
      <c r="AQ34" s="111">
        <v>0</v>
      </c>
      <c r="AR34" s="111">
        <v>0</v>
      </c>
      <c r="AS34" s="111">
        <v>0</v>
      </c>
      <c r="AT34" s="112">
        <v>0</v>
      </c>
    </row>
    <row r="35" spans="2:46" ht="12" customHeight="1" x14ac:dyDescent="0.3">
      <c r="B35" s="110" t="s">
        <v>42</v>
      </c>
      <c r="C35" s="111" t="s">
        <v>39</v>
      </c>
      <c r="D35" s="111" t="s">
        <v>43</v>
      </c>
      <c r="E35" s="111" t="s">
        <v>86</v>
      </c>
      <c r="F35" s="111" t="s">
        <v>25</v>
      </c>
      <c r="G35" s="111" t="s">
        <v>40</v>
      </c>
      <c r="H35" s="111" t="s">
        <v>69</v>
      </c>
      <c r="I35" s="111" t="s">
        <v>25</v>
      </c>
      <c r="J35" s="111">
        <v>1140.5</v>
      </c>
      <c r="K35" s="111">
        <v>114.88</v>
      </c>
      <c r="L35" s="111">
        <v>0</v>
      </c>
      <c r="M35" s="111">
        <v>1.9898890255369699</v>
      </c>
      <c r="N35" s="111">
        <v>0</v>
      </c>
      <c r="O35" s="111">
        <v>0</v>
      </c>
      <c r="P35" s="111">
        <v>0</v>
      </c>
      <c r="Q35" s="111">
        <v>83.158837746586698</v>
      </c>
      <c r="R35" s="111">
        <v>13.1338816567511</v>
      </c>
      <c r="S35" s="111">
        <v>0</v>
      </c>
      <c r="T35" s="111">
        <v>0</v>
      </c>
      <c r="U35" s="111">
        <v>0</v>
      </c>
      <c r="V35" s="111">
        <v>0</v>
      </c>
      <c r="W35" s="111">
        <v>0</v>
      </c>
      <c r="X35" s="111">
        <v>178.19924737522601</v>
      </c>
      <c r="Y35" s="111">
        <v>0</v>
      </c>
      <c r="Z35" s="111">
        <v>0</v>
      </c>
      <c r="AA35" s="111">
        <v>844.10444869410196</v>
      </c>
      <c r="AB35" s="111">
        <v>0</v>
      </c>
      <c r="AC35" s="111">
        <v>0</v>
      </c>
      <c r="AD35" s="111">
        <v>0</v>
      </c>
      <c r="AE35" s="111">
        <v>19.918630500325801</v>
      </c>
      <c r="AF35" s="111">
        <v>0</v>
      </c>
      <c r="AG35" s="111">
        <v>0</v>
      </c>
      <c r="AH35" s="111">
        <v>0</v>
      </c>
      <c r="AI35" s="111">
        <v>0</v>
      </c>
      <c r="AJ35" s="111">
        <v>0</v>
      </c>
      <c r="AK35" s="111">
        <v>0</v>
      </c>
      <c r="AL35" s="111">
        <v>0</v>
      </c>
      <c r="AM35" s="111">
        <v>0</v>
      </c>
      <c r="AN35" s="111">
        <v>114.880634426076</v>
      </c>
      <c r="AO35" s="111">
        <v>0</v>
      </c>
      <c r="AP35" s="111">
        <v>0</v>
      </c>
      <c r="AQ35" s="111">
        <v>0</v>
      </c>
      <c r="AR35" s="111">
        <v>0</v>
      </c>
      <c r="AS35" s="111">
        <v>0</v>
      </c>
      <c r="AT35" s="112">
        <v>0</v>
      </c>
    </row>
    <row r="36" spans="2:46" ht="12" customHeight="1" x14ac:dyDescent="0.3">
      <c r="B36" s="110" t="s">
        <v>42</v>
      </c>
      <c r="C36" s="111" t="s">
        <v>39</v>
      </c>
      <c r="D36" s="111" t="s">
        <v>43</v>
      </c>
      <c r="E36" s="111" t="s">
        <v>86</v>
      </c>
      <c r="F36" s="111" t="s">
        <v>25</v>
      </c>
      <c r="G36" s="111" t="s">
        <v>38</v>
      </c>
      <c r="H36" s="111" t="s">
        <v>69</v>
      </c>
      <c r="I36" s="111" t="s">
        <v>25</v>
      </c>
      <c r="J36" s="111">
        <v>459.01</v>
      </c>
      <c r="K36" s="111">
        <v>114.88</v>
      </c>
      <c r="L36" s="111">
        <v>0</v>
      </c>
      <c r="M36" s="111">
        <v>1.9898890255369699</v>
      </c>
      <c r="N36" s="111">
        <v>0</v>
      </c>
      <c r="O36" s="111">
        <v>0</v>
      </c>
      <c r="P36" s="111">
        <v>0</v>
      </c>
      <c r="Q36" s="111">
        <v>83.158837746586698</v>
      </c>
      <c r="R36" s="111">
        <v>13.1338816567511</v>
      </c>
      <c r="S36" s="111">
        <v>0</v>
      </c>
      <c r="T36" s="111">
        <v>0</v>
      </c>
      <c r="U36" s="111">
        <v>0</v>
      </c>
      <c r="V36" s="111">
        <v>0</v>
      </c>
      <c r="W36" s="111">
        <v>0</v>
      </c>
      <c r="X36" s="111">
        <v>59.437963378915697</v>
      </c>
      <c r="Y36" s="111">
        <v>0</v>
      </c>
      <c r="Z36" s="111">
        <v>0</v>
      </c>
      <c r="AA36" s="111">
        <v>281.36783747877598</v>
      </c>
      <c r="AB36" s="111">
        <v>0</v>
      </c>
      <c r="AC36" s="111">
        <v>0</v>
      </c>
      <c r="AD36" s="111">
        <v>0</v>
      </c>
      <c r="AE36" s="111">
        <v>19.918630500325801</v>
      </c>
      <c r="AF36" s="111">
        <v>0</v>
      </c>
      <c r="AG36" s="111">
        <v>0</v>
      </c>
      <c r="AH36" s="111">
        <v>0</v>
      </c>
      <c r="AI36" s="111">
        <v>0</v>
      </c>
      <c r="AJ36" s="111">
        <v>0</v>
      </c>
      <c r="AK36" s="111">
        <v>0</v>
      </c>
      <c r="AL36" s="111">
        <v>0</v>
      </c>
      <c r="AM36" s="111">
        <v>0</v>
      </c>
      <c r="AN36" s="111">
        <v>114.880634426076</v>
      </c>
      <c r="AO36" s="111">
        <v>0</v>
      </c>
      <c r="AP36" s="111">
        <v>0</v>
      </c>
      <c r="AQ36" s="111">
        <v>0</v>
      </c>
      <c r="AR36" s="111">
        <v>0</v>
      </c>
      <c r="AS36" s="111">
        <v>0</v>
      </c>
      <c r="AT36" s="112">
        <v>0</v>
      </c>
    </row>
    <row r="37" spans="2:46" ht="12" customHeight="1" x14ac:dyDescent="0.3">
      <c r="B37" s="110" t="s">
        <v>42</v>
      </c>
      <c r="C37" s="111" t="s">
        <v>23</v>
      </c>
      <c r="D37" s="111" t="s">
        <v>43</v>
      </c>
      <c r="E37" s="111" t="s">
        <v>85</v>
      </c>
      <c r="F37" s="111" t="s">
        <v>25</v>
      </c>
      <c r="G37" s="111" t="s">
        <v>25</v>
      </c>
      <c r="H37" s="111" t="s">
        <v>69</v>
      </c>
      <c r="I37" s="111" t="s">
        <v>25</v>
      </c>
      <c r="J37" s="111">
        <v>710.95</v>
      </c>
      <c r="K37" s="111">
        <v>117.38</v>
      </c>
      <c r="L37" s="111">
        <v>0</v>
      </c>
      <c r="M37" s="111">
        <v>2.03314748261386</v>
      </c>
      <c r="N37" s="111">
        <v>0</v>
      </c>
      <c r="O37" s="111">
        <v>0</v>
      </c>
      <c r="P37" s="111">
        <v>0</v>
      </c>
      <c r="Q37" s="111">
        <v>84.966638567164594</v>
      </c>
      <c r="R37" s="111">
        <v>13.419400823202199</v>
      </c>
      <c r="S37" s="111">
        <v>0</v>
      </c>
      <c r="T37" s="111">
        <v>0</v>
      </c>
      <c r="U37" s="111">
        <v>0</v>
      </c>
      <c r="V37" s="111">
        <v>0</v>
      </c>
      <c r="W37" s="111">
        <v>0</v>
      </c>
      <c r="X37" s="111">
        <v>102.913428958758</v>
      </c>
      <c r="Y37" s="111">
        <v>0</v>
      </c>
      <c r="Z37" s="111">
        <v>0</v>
      </c>
      <c r="AA37" s="111">
        <v>487.26225668278602</v>
      </c>
      <c r="AB37" s="111">
        <v>0</v>
      </c>
      <c r="AC37" s="111">
        <v>0</v>
      </c>
      <c r="AD37" s="111">
        <v>0</v>
      </c>
      <c r="AE37" s="111">
        <v>20.351644206854601</v>
      </c>
      <c r="AF37" s="111">
        <v>0</v>
      </c>
      <c r="AG37" s="111">
        <v>0</v>
      </c>
      <c r="AH37" s="111">
        <v>0</v>
      </c>
      <c r="AI37" s="111">
        <v>0</v>
      </c>
      <c r="AJ37" s="111">
        <v>0</v>
      </c>
      <c r="AK37" s="111">
        <v>0</v>
      </c>
      <c r="AL37" s="111">
        <v>0</v>
      </c>
      <c r="AM37" s="111">
        <v>0</v>
      </c>
      <c r="AN37" s="111">
        <v>117.378039522295</v>
      </c>
      <c r="AO37" s="111">
        <v>0</v>
      </c>
      <c r="AP37" s="111">
        <v>0</v>
      </c>
      <c r="AQ37" s="111">
        <v>0</v>
      </c>
      <c r="AR37" s="111">
        <v>0</v>
      </c>
      <c r="AS37" s="111">
        <v>0</v>
      </c>
      <c r="AT37" s="112">
        <v>0</v>
      </c>
    </row>
    <row r="38" spans="2:46" ht="12" customHeight="1" x14ac:dyDescent="0.3">
      <c r="B38" s="110" t="s">
        <v>42</v>
      </c>
      <c r="C38" s="111" t="s">
        <v>23</v>
      </c>
      <c r="D38" s="111" t="s">
        <v>43</v>
      </c>
      <c r="E38" s="111" t="s">
        <v>25</v>
      </c>
      <c r="F38" s="111" t="s">
        <v>25</v>
      </c>
      <c r="G38" s="111" t="s">
        <v>25</v>
      </c>
      <c r="H38" s="111" t="s">
        <v>69</v>
      </c>
      <c r="I38" s="111" t="s">
        <v>25</v>
      </c>
      <c r="J38" s="111">
        <v>710.95</v>
      </c>
      <c r="K38" s="111">
        <v>117.38</v>
      </c>
      <c r="L38" s="111">
        <v>0</v>
      </c>
      <c r="M38" s="111">
        <v>2.03314748261386</v>
      </c>
      <c r="N38" s="111">
        <v>0</v>
      </c>
      <c r="O38" s="111">
        <v>0</v>
      </c>
      <c r="P38" s="111">
        <v>0</v>
      </c>
      <c r="Q38" s="111">
        <v>84.966638567164594</v>
      </c>
      <c r="R38" s="111">
        <v>13.419400823202199</v>
      </c>
      <c r="S38" s="111">
        <v>0</v>
      </c>
      <c r="T38" s="111">
        <v>0</v>
      </c>
      <c r="U38" s="111">
        <v>0</v>
      </c>
      <c r="V38" s="111">
        <v>0</v>
      </c>
      <c r="W38" s="111">
        <v>0</v>
      </c>
      <c r="X38" s="111">
        <v>102.913428958758</v>
      </c>
      <c r="Y38" s="111">
        <v>0</v>
      </c>
      <c r="Z38" s="111">
        <v>0</v>
      </c>
      <c r="AA38" s="111">
        <v>487.26225668278602</v>
      </c>
      <c r="AB38" s="111">
        <v>0</v>
      </c>
      <c r="AC38" s="111">
        <v>0</v>
      </c>
      <c r="AD38" s="111">
        <v>0</v>
      </c>
      <c r="AE38" s="111">
        <v>20.351644206854601</v>
      </c>
      <c r="AF38" s="111">
        <v>0</v>
      </c>
      <c r="AG38" s="111">
        <v>0</v>
      </c>
      <c r="AH38" s="111">
        <v>0</v>
      </c>
      <c r="AI38" s="111">
        <v>0</v>
      </c>
      <c r="AJ38" s="111">
        <v>0</v>
      </c>
      <c r="AK38" s="111">
        <v>0</v>
      </c>
      <c r="AL38" s="111">
        <v>0</v>
      </c>
      <c r="AM38" s="111">
        <v>0</v>
      </c>
      <c r="AN38" s="111">
        <v>117.378039522295</v>
      </c>
      <c r="AO38" s="111">
        <v>0</v>
      </c>
      <c r="AP38" s="111">
        <v>0</v>
      </c>
      <c r="AQ38" s="111">
        <v>0</v>
      </c>
      <c r="AR38" s="111">
        <v>0</v>
      </c>
      <c r="AS38" s="111">
        <v>0</v>
      </c>
      <c r="AT38" s="112">
        <v>0</v>
      </c>
    </row>
    <row r="39" spans="2:46" ht="12" customHeight="1" x14ac:dyDescent="0.3">
      <c r="B39" s="110" t="s">
        <v>42</v>
      </c>
      <c r="C39" s="111" t="s">
        <v>23</v>
      </c>
      <c r="D39" s="111" t="s">
        <v>43</v>
      </c>
      <c r="E39" s="111" t="s">
        <v>86</v>
      </c>
      <c r="F39" s="111" t="s">
        <v>25</v>
      </c>
      <c r="G39" s="111" t="s">
        <v>25</v>
      </c>
      <c r="H39" s="111" t="s">
        <v>69</v>
      </c>
      <c r="I39" s="111" t="s">
        <v>25</v>
      </c>
      <c r="J39" s="111">
        <v>695.82</v>
      </c>
      <c r="K39" s="111">
        <v>114.88</v>
      </c>
      <c r="L39" s="111">
        <v>0</v>
      </c>
      <c r="M39" s="111">
        <v>1.9898890255369699</v>
      </c>
      <c r="N39" s="111">
        <v>0</v>
      </c>
      <c r="O39" s="111">
        <v>0</v>
      </c>
      <c r="P39" s="111">
        <v>0</v>
      </c>
      <c r="Q39" s="111">
        <v>83.158837746586698</v>
      </c>
      <c r="R39" s="111">
        <v>13.1338816567511</v>
      </c>
      <c r="S39" s="111">
        <v>0</v>
      </c>
      <c r="T39" s="111">
        <v>0</v>
      </c>
      <c r="U39" s="111">
        <v>0</v>
      </c>
      <c r="V39" s="111">
        <v>0</v>
      </c>
      <c r="W39" s="111">
        <v>0</v>
      </c>
      <c r="X39" s="111">
        <v>100.723781534103</v>
      </c>
      <c r="Y39" s="111">
        <v>0</v>
      </c>
      <c r="Z39" s="111">
        <v>0</v>
      </c>
      <c r="AA39" s="111">
        <v>476.89497462570603</v>
      </c>
      <c r="AB39" s="111">
        <v>0</v>
      </c>
      <c r="AC39" s="111">
        <v>0</v>
      </c>
      <c r="AD39" s="111">
        <v>0</v>
      </c>
      <c r="AE39" s="111">
        <v>19.918630500325801</v>
      </c>
      <c r="AF39" s="111">
        <v>0</v>
      </c>
      <c r="AG39" s="111">
        <v>0</v>
      </c>
      <c r="AH39" s="111">
        <v>0</v>
      </c>
      <c r="AI39" s="111">
        <v>0</v>
      </c>
      <c r="AJ39" s="111">
        <v>0</v>
      </c>
      <c r="AK39" s="111">
        <v>0</v>
      </c>
      <c r="AL39" s="111">
        <v>0</v>
      </c>
      <c r="AM39" s="111">
        <v>0</v>
      </c>
      <c r="AN39" s="111">
        <v>114.880634426076</v>
      </c>
      <c r="AO39" s="111">
        <v>0</v>
      </c>
      <c r="AP39" s="111">
        <v>0</v>
      </c>
      <c r="AQ39" s="111">
        <v>0</v>
      </c>
      <c r="AR39" s="111">
        <v>0</v>
      </c>
      <c r="AS39" s="111">
        <v>0</v>
      </c>
      <c r="AT39" s="112">
        <v>0</v>
      </c>
    </row>
    <row r="40" spans="2:46" ht="12" customHeight="1" x14ac:dyDescent="0.3">
      <c r="B40" s="110" t="s">
        <v>42</v>
      </c>
      <c r="C40" s="111" t="s">
        <v>84</v>
      </c>
      <c r="D40" s="111" t="s">
        <v>43</v>
      </c>
      <c r="E40" s="111" t="s">
        <v>85</v>
      </c>
      <c r="F40" s="111" t="s">
        <v>25</v>
      </c>
      <c r="G40" s="111" t="s">
        <v>25</v>
      </c>
      <c r="H40" s="111" t="s">
        <v>69</v>
      </c>
      <c r="I40" s="111" t="s">
        <v>25</v>
      </c>
      <c r="J40" s="111">
        <v>710.95</v>
      </c>
      <c r="K40" s="111">
        <v>117.38</v>
      </c>
      <c r="L40" s="111">
        <v>0</v>
      </c>
      <c r="M40" s="111">
        <v>2.03314748261386</v>
      </c>
      <c r="N40" s="111">
        <v>0</v>
      </c>
      <c r="O40" s="111">
        <v>0</v>
      </c>
      <c r="P40" s="111">
        <v>0</v>
      </c>
      <c r="Q40" s="111">
        <v>84.966638567164594</v>
      </c>
      <c r="R40" s="111">
        <v>13.419400823202199</v>
      </c>
      <c r="S40" s="111">
        <v>0</v>
      </c>
      <c r="T40" s="111">
        <v>0</v>
      </c>
      <c r="U40" s="111">
        <v>0</v>
      </c>
      <c r="V40" s="111">
        <v>0</v>
      </c>
      <c r="W40" s="111">
        <v>0</v>
      </c>
      <c r="X40" s="111">
        <v>102.913428958758</v>
      </c>
      <c r="Y40" s="111">
        <v>0</v>
      </c>
      <c r="Z40" s="111">
        <v>0</v>
      </c>
      <c r="AA40" s="111">
        <v>487.26225668278602</v>
      </c>
      <c r="AB40" s="111">
        <v>0</v>
      </c>
      <c r="AC40" s="111">
        <v>0</v>
      </c>
      <c r="AD40" s="111">
        <v>0</v>
      </c>
      <c r="AE40" s="111">
        <v>20.351644206854601</v>
      </c>
      <c r="AF40" s="111">
        <v>0</v>
      </c>
      <c r="AG40" s="111">
        <v>0</v>
      </c>
      <c r="AH40" s="111">
        <v>0</v>
      </c>
      <c r="AI40" s="111">
        <v>0</v>
      </c>
      <c r="AJ40" s="111">
        <v>0</v>
      </c>
      <c r="AK40" s="111">
        <v>0</v>
      </c>
      <c r="AL40" s="111">
        <v>0</v>
      </c>
      <c r="AM40" s="111">
        <v>0</v>
      </c>
      <c r="AN40" s="111">
        <v>117.378039522295</v>
      </c>
      <c r="AO40" s="111">
        <v>0</v>
      </c>
      <c r="AP40" s="111">
        <v>0</v>
      </c>
      <c r="AQ40" s="111">
        <v>0</v>
      </c>
      <c r="AR40" s="111">
        <v>0</v>
      </c>
      <c r="AS40" s="111">
        <v>0</v>
      </c>
      <c r="AT40" s="112">
        <v>0</v>
      </c>
    </row>
    <row r="41" spans="2:46" ht="12" customHeight="1" x14ac:dyDescent="0.3">
      <c r="B41" s="110" t="s">
        <v>42</v>
      </c>
      <c r="C41" s="111" t="s">
        <v>84</v>
      </c>
      <c r="D41" s="111" t="s">
        <v>43</v>
      </c>
      <c r="E41" s="111" t="s">
        <v>25</v>
      </c>
      <c r="F41" s="111" t="s">
        <v>25</v>
      </c>
      <c r="G41" s="111" t="s">
        <v>25</v>
      </c>
      <c r="H41" s="111" t="s">
        <v>69</v>
      </c>
      <c r="I41" s="111" t="s">
        <v>25</v>
      </c>
      <c r="J41" s="111">
        <v>710.95</v>
      </c>
      <c r="K41" s="111">
        <v>117.38</v>
      </c>
      <c r="L41" s="111">
        <v>0</v>
      </c>
      <c r="M41" s="111">
        <v>2.03314748261386</v>
      </c>
      <c r="N41" s="111">
        <v>0</v>
      </c>
      <c r="O41" s="111">
        <v>0</v>
      </c>
      <c r="P41" s="111">
        <v>0</v>
      </c>
      <c r="Q41" s="111">
        <v>84.966638567164594</v>
      </c>
      <c r="R41" s="111">
        <v>13.419400823202199</v>
      </c>
      <c r="S41" s="111">
        <v>0</v>
      </c>
      <c r="T41" s="111">
        <v>0</v>
      </c>
      <c r="U41" s="111">
        <v>0</v>
      </c>
      <c r="V41" s="111">
        <v>0</v>
      </c>
      <c r="W41" s="111">
        <v>0</v>
      </c>
      <c r="X41" s="111">
        <v>102.913428958758</v>
      </c>
      <c r="Y41" s="111">
        <v>0</v>
      </c>
      <c r="Z41" s="111">
        <v>0</v>
      </c>
      <c r="AA41" s="111">
        <v>487.26225668278602</v>
      </c>
      <c r="AB41" s="111">
        <v>0</v>
      </c>
      <c r="AC41" s="111">
        <v>0</v>
      </c>
      <c r="AD41" s="111">
        <v>0</v>
      </c>
      <c r="AE41" s="111">
        <v>20.351644206854601</v>
      </c>
      <c r="AF41" s="111">
        <v>0</v>
      </c>
      <c r="AG41" s="111">
        <v>0</v>
      </c>
      <c r="AH41" s="111">
        <v>0</v>
      </c>
      <c r="AI41" s="111">
        <v>0</v>
      </c>
      <c r="AJ41" s="111">
        <v>0</v>
      </c>
      <c r="AK41" s="111">
        <v>0</v>
      </c>
      <c r="AL41" s="111">
        <v>0</v>
      </c>
      <c r="AM41" s="111">
        <v>0</v>
      </c>
      <c r="AN41" s="111">
        <v>117.378039522295</v>
      </c>
      <c r="AO41" s="111">
        <v>0</v>
      </c>
      <c r="AP41" s="111">
        <v>0</v>
      </c>
      <c r="AQ41" s="111">
        <v>0</v>
      </c>
      <c r="AR41" s="111">
        <v>0</v>
      </c>
      <c r="AS41" s="111">
        <v>0</v>
      </c>
      <c r="AT41" s="112">
        <v>0</v>
      </c>
    </row>
    <row r="42" spans="2:46" ht="12" customHeight="1" x14ac:dyDescent="0.3">
      <c r="B42" s="110" t="s">
        <v>42</v>
      </c>
      <c r="C42" s="111" t="s">
        <v>84</v>
      </c>
      <c r="D42" s="111" t="s">
        <v>43</v>
      </c>
      <c r="E42" s="111" t="s">
        <v>86</v>
      </c>
      <c r="F42" s="111" t="s">
        <v>25</v>
      </c>
      <c r="G42" s="111" t="s">
        <v>25</v>
      </c>
      <c r="H42" s="111" t="s">
        <v>69</v>
      </c>
      <c r="I42" s="111" t="s">
        <v>25</v>
      </c>
      <c r="J42" s="111">
        <v>695.82</v>
      </c>
      <c r="K42" s="111">
        <v>114.88</v>
      </c>
      <c r="L42" s="111">
        <v>0</v>
      </c>
      <c r="M42" s="111">
        <v>1.9898890255369699</v>
      </c>
      <c r="N42" s="111">
        <v>0</v>
      </c>
      <c r="O42" s="111">
        <v>0</v>
      </c>
      <c r="P42" s="111">
        <v>0</v>
      </c>
      <c r="Q42" s="111">
        <v>83.158837746586698</v>
      </c>
      <c r="R42" s="111">
        <v>13.1338816567511</v>
      </c>
      <c r="S42" s="111">
        <v>0</v>
      </c>
      <c r="T42" s="111">
        <v>0</v>
      </c>
      <c r="U42" s="111">
        <v>0</v>
      </c>
      <c r="V42" s="111">
        <v>0</v>
      </c>
      <c r="W42" s="111">
        <v>0</v>
      </c>
      <c r="X42" s="111">
        <v>100.723781534103</v>
      </c>
      <c r="Y42" s="111">
        <v>0</v>
      </c>
      <c r="Z42" s="111">
        <v>0</v>
      </c>
      <c r="AA42" s="111">
        <v>476.89497462570603</v>
      </c>
      <c r="AB42" s="111">
        <v>0</v>
      </c>
      <c r="AC42" s="111">
        <v>0</v>
      </c>
      <c r="AD42" s="111">
        <v>0</v>
      </c>
      <c r="AE42" s="111">
        <v>19.918630500325801</v>
      </c>
      <c r="AF42" s="111">
        <v>0</v>
      </c>
      <c r="AG42" s="111">
        <v>0</v>
      </c>
      <c r="AH42" s="111">
        <v>0</v>
      </c>
      <c r="AI42" s="111">
        <v>0</v>
      </c>
      <c r="AJ42" s="111">
        <v>0</v>
      </c>
      <c r="AK42" s="111">
        <v>0</v>
      </c>
      <c r="AL42" s="111">
        <v>0</v>
      </c>
      <c r="AM42" s="111">
        <v>0</v>
      </c>
      <c r="AN42" s="111">
        <v>114.880634426076</v>
      </c>
      <c r="AO42" s="111">
        <v>0</v>
      </c>
      <c r="AP42" s="111">
        <v>0</v>
      </c>
      <c r="AQ42" s="111">
        <v>0</v>
      </c>
      <c r="AR42" s="111">
        <v>0</v>
      </c>
      <c r="AS42" s="111">
        <v>0</v>
      </c>
      <c r="AT42" s="112">
        <v>0</v>
      </c>
    </row>
    <row r="43" spans="2:46" ht="12" customHeight="1" x14ac:dyDescent="0.3">
      <c r="B43" s="110" t="s">
        <v>33</v>
      </c>
      <c r="C43" s="111" t="s">
        <v>39</v>
      </c>
      <c r="D43" s="111" t="s">
        <v>25</v>
      </c>
      <c r="E43" s="111" t="s">
        <v>25</v>
      </c>
      <c r="F43" s="111" t="s">
        <v>25</v>
      </c>
      <c r="G43" s="111" t="s">
        <v>37</v>
      </c>
      <c r="H43" s="111" t="s">
        <v>69</v>
      </c>
      <c r="I43" s="111" t="s">
        <v>25</v>
      </c>
      <c r="J43" s="111">
        <v>2263.12</v>
      </c>
      <c r="K43" s="111">
        <v>124.87</v>
      </c>
      <c r="L43" s="111">
        <v>0</v>
      </c>
      <c r="M43" s="111">
        <v>2.1629228538445302</v>
      </c>
      <c r="N43" s="111">
        <v>0</v>
      </c>
      <c r="O43" s="111">
        <v>0</v>
      </c>
      <c r="P43" s="111">
        <v>0</v>
      </c>
      <c r="Q43" s="111">
        <v>90.390041028898594</v>
      </c>
      <c r="R43" s="111">
        <v>14.2759583225555</v>
      </c>
      <c r="S43" s="111">
        <v>0</v>
      </c>
      <c r="T43" s="111">
        <v>0</v>
      </c>
      <c r="U43" s="111">
        <v>0</v>
      </c>
      <c r="V43" s="111">
        <v>0</v>
      </c>
      <c r="W43" s="111">
        <v>0</v>
      </c>
      <c r="X43" s="111">
        <v>372.20271940483701</v>
      </c>
      <c r="Y43" s="111">
        <v>0</v>
      </c>
      <c r="Z43" s="111">
        <v>0</v>
      </c>
      <c r="AA43" s="111">
        <v>1762.4378886434099</v>
      </c>
      <c r="AB43" s="111">
        <v>0</v>
      </c>
      <c r="AC43" s="111">
        <v>0</v>
      </c>
      <c r="AD43" s="111">
        <v>0</v>
      </c>
      <c r="AE43" s="111">
        <v>21.650685326441099</v>
      </c>
      <c r="AF43" s="111">
        <v>0</v>
      </c>
      <c r="AG43" s="111">
        <v>0</v>
      </c>
      <c r="AH43" s="111">
        <v>0</v>
      </c>
      <c r="AI43" s="111">
        <v>0</v>
      </c>
      <c r="AJ43" s="111">
        <v>0</v>
      </c>
      <c r="AK43" s="111">
        <v>0</v>
      </c>
      <c r="AL43" s="111">
        <v>0</v>
      </c>
      <c r="AM43" s="111">
        <v>0</v>
      </c>
      <c r="AN43" s="111">
        <v>124.87025481095201</v>
      </c>
      <c r="AO43" s="111">
        <v>0</v>
      </c>
      <c r="AP43" s="111">
        <v>0</v>
      </c>
      <c r="AQ43" s="111">
        <v>0</v>
      </c>
      <c r="AR43" s="111">
        <v>0</v>
      </c>
      <c r="AS43" s="111">
        <v>0</v>
      </c>
      <c r="AT43" s="112">
        <v>0</v>
      </c>
    </row>
    <row r="44" spans="2:46" ht="12" customHeight="1" x14ac:dyDescent="0.3">
      <c r="B44" s="110" t="s">
        <v>33</v>
      </c>
      <c r="C44" s="111" t="s">
        <v>39</v>
      </c>
      <c r="D44" s="111" t="s">
        <v>25</v>
      </c>
      <c r="E44" s="111" t="s">
        <v>25</v>
      </c>
      <c r="F44" s="111" t="s">
        <v>25</v>
      </c>
      <c r="G44" s="111" t="s">
        <v>40</v>
      </c>
      <c r="H44" s="111" t="s">
        <v>69</v>
      </c>
      <c r="I44" s="111" t="s">
        <v>25</v>
      </c>
      <c r="J44" s="111">
        <v>1409.2</v>
      </c>
      <c r="K44" s="111">
        <v>124.87</v>
      </c>
      <c r="L44" s="111">
        <v>0</v>
      </c>
      <c r="M44" s="111">
        <v>2.1629228538445302</v>
      </c>
      <c r="N44" s="111">
        <v>0</v>
      </c>
      <c r="O44" s="111">
        <v>0</v>
      </c>
      <c r="P44" s="111">
        <v>0</v>
      </c>
      <c r="Q44" s="111">
        <v>90.390041028898594</v>
      </c>
      <c r="R44" s="111">
        <v>14.2759583225555</v>
      </c>
      <c r="S44" s="111">
        <v>0</v>
      </c>
      <c r="T44" s="111">
        <v>0</v>
      </c>
      <c r="U44" s="111">
        <v>0</v>
      </c>
      <c r="V44" s="111">
        <v>0</v>
      </c>
      <c r="W44" s="111">
        <v>0</v>
      </c>
      <c r="X44" s="111">
        <v>223.259366517026</v>
      </c>
      <c r="Y44" s="111">
        <v>0</v>
      </c>
      <c r="Z44" s="111">
        <v>0</v>
      </c>
      <c r="AA44" s="111">
        <v>1057.46265177232</v>
      </c>
      <c r="AB44" s="111">
        <v>0</v>
      </c>
      <c r="AC44" s="111">
        <v>0</v>
      </c>
      <c r="AD44" s="111">
        <v>0</v>
      </c>
      <c r="AE44" s="111">
        <v>21.650685326441099</v>
      </c>
      <c r="AF44" s="111">
        <v>0</v>
      </c>
      <c r="AG44" s="111">
        <v>0</v>
      </c>
      <c r="AH44" s="111">
        <v>0</v>
      </c>
      <c r="AI44" s="111">
        <v>0</v>
      </c>
      <c r="AJ44" s="111">
        <v>0</v>
      </c>
      <c r="AK44" s="111">
        <v>0</v>
      </c>
      <c r="AL44" s="111">
        <v>0</v>
      </c>
      <c r="AM44" s="111">
        <v>0</v>
      </c>
      <c r="AN44" s="111">
        <v>124.87025481095201</v>
      </c>
      <c r="AO44" s="111">
        <v>0</v>
      </c>
      <c r="AP44" s="111">
        <v>0</v>
      </c>
      <c r="AQ44" s="111">
        <v>0</v>
      </c>
      <c r="AR44" s="111">
        <v>0</v>
      </c>
      <c r="AS44" s="111">
        <v>0</v>
      </c>
      <c r="AT44" s="112">
        <v>0</v>
      </c>
    </row>
    <row r="45" spans="2:46" ht="12" customHeight="1" x14ac:dyDescent="0.3">
      <c r="B45" s="110" t="s">
        <v>33</v>
      </c>
      <c r="C45" s="111" t="s">
        <v>39</v>
      </c>
      <c r="D45" s="111" t="s">
        <v>25</v>
      </c>
      <c r="E45" s="111" t="s">
        <v>25</v>
      </c>
      <c r="F45" s="111" t="s">
        <v>25</v>
      </c>
      <c r="G45" s="111" t="s">
        <v>38</v>
      </c>
      <c r="H45" s="111" t="s">
        <v>69</v>
      </c>
      <c r="I45" s="111" t="s">
        <v>25</v>
      </c>
      <c r="J45" s="111">
        <v>555.41</v>
      </c>
      <c r="K45" s="111">
        <v>124.87</v>
      </c>
      <c r="L45" s="111">
        <v>0</v>
      </c>
      <c r="M45" s="111">
        <v>2.1629228538445302</v>
      </c>
      <c r="N45" s="111">
        <v>0</v>
      </c>
      <c r="O45" s="111">
        <v>0</v>
      </c>
      <c r="P45" s="111">
        <v>0</v>
      </c>
      <c r="Q45" s="111">
        <v>90.390041028898594</v>
      </c>
      <c r="R45" s="111">
        <v>14.2759583225555</v>
      </c>
      <c r="S45" s="111">
        <v>0</v>
      </c>
      <c r="T45" s="111">
        <v>0</v>
      </c>
      <c r="U45" s="111">
        <v>0</v>
      </c>
      <c r="V45" s="111">
        <v>0</v>
      </c>
      <c r="W45" s="111">
        <v>0</v>
      </c>
      <c r="X45" s="111">
        <v>74.440523519578903</v>
      </c>
      <c r="Y45" s="111">
        <v>0</v>
      </c>
      <c r="Z45" s="111">
        <v>0</v>
      </c>
      <c r="AA45" s="111">
        <v>352.48792373698899</v>
      </c>
      <c r="AB45" s="111">
        <v>0</v>
      </c>
      <c r="AC45" s="111">
        <v>0</v>
      </c>
      <c r="AD45" s="111">
        <v>0</v>
      </c>
      <c r="AE45" s="111">
        <v>21.650685326441099</v>
      </c>
      <c r="AF45" s="111">
        <v>0</v>
      </c>
      <c r="AG45" s="111">
        <v>0</v>
      </c>
      <c r="AH45" s="111">
        <v>0</v>
      </c>
      <c r="AI45" s="111">
        <v>0</v>
      </c>
      <c r="AJ45" s="111">
        <v>0</v>
      </c>
      <c r="AK45" s="111">
        <v>0</v>
      </c>
      <c r="AL45" s="111">
        <v>0</v>
      </c>
      <c r="AM45" s="111">
        <v>0</v>
      </c>
      <c r="AN45" s="111">
        <v>124.87025481095201</v>
      </c>
      <c r="AO45" s="111">
        <v>0</v>
      </c>
      <c r="AP45" s="111">
        <v>0</v>
      </c>
      <c r="AQ45" s="111">
        <v>0</v>
      </c>
      <c r="AR45" s="111">
        <v>0</v>
      </c>
      <c r="AS45" s="111">
        <v>0</v>
      </c>
      <c r="AT45" s="112">
        <v>0</v>
      </c>
    </row>
    <row r="46" spans="2:46" ht="12" customHeight="1" x14ac:dyDescent="0.3">
      <c r="B46" s="110" t="s">
        <v>33</v>
      </c>
      <c r="C46" s="111" t="s">
        <v>23</v>
      </c>
      <c r="D46" s="111" t="s">
        <v>25</v>
      </c>
      <c r="E46" s="111" t="s">
        <v>25</v>
      </c>
      <c r="F46" s="111" t="s">
        <v>25</v>
      </c>
      <c r="G46" s="111" t="s">
        <v>25</v>
      </c>
      <c r="H46" s="111" t="s">
        <v>69</v>
      </c>
      <c r="I46" s="111" t="s">
        <v>25</v>
      </c>
      <c r="J46" s="111">
        <v>756.33</v>
      </c>
      <c r="K46" s="111">
        <v>124.87</v>
      </c>
      <c r="L46" s="111">
        <v>0</v>
      </c>
      <c r="M46" s="111">
        <v>2.1629228538445302</v>
      </c>
      <c r="N46" s="111">
        <v>0</v>
      </c>
      <c r="O46" s="111">
        <v>0</v>
      </c>
      <c r="P46" s="111">
        <v>0</v>
      </c>
      <c r="Q46" s="111">
        <v>90.390041028898594</v>
      </c>
      <c r="R46" s="111">
        <v>14.2759583225555</v>
      </c>
      <c r="S46" s="111">
        <v>0</v>
      </c>
      <c r="T46" s="111">
        <v>0</v>
      </c>
      <c r="U46" s="111">
        <v>0</v>
      </c>
      <c r="V46" s="111">
        <v>0</v>
      </c>
      <c r="W46" s="111">
        <v>0</v>
      </c>
      <c r="X46" s="111">
        <v>109.48237123272099</v>
      </c>
      <c r="Y46" s="111">
        <v>0</v>
      </c>
      <c r="Z46" s="111">
        <v>0</v>
      </c>
      <c r="AA46" s="111">
        <v>518.36410285402803</v>
      </c>
      <c r="AB46" s="111">
        <v>0</v>
      </c>
      <c r="AC46" s="111">
        <v>0</v>
      </c>
      <c r="AD46" s="111">
        <v>0</v>
      </c>
      <c r="AE46" s="111">
        <v>21.650685326441099</v>
      </c>
      <c r="AF46" s="111">
        <v>0</v>
      </c>
      <c r="AG46" s="111">
        <v>0</v>
      </c>
      <c r="AH46" s="111">
        <v>0</v>
      </c>
      <c r="AI46" s="111">
        <v>0</v>
      </c>
      <c r="AJ46" s="111">
        <v>0</v>
      </c>
      <c r="AK46" s="111">
        <v>0</v>
      </c>
      <c r="AL46" s="111">
        <v>0</v>
      </c>
      <c r="AM46" s="111">
        <v>0</v>
      </c>
      <c r="AN46" s="111">
        <v>124.87025481095201</v>
      </c>
      <c r="AO46" s="111">
        <v>0</v>
      </c>
      <c r="AP46" s="111">
        <v>0</v>
      </c>
      <c r="AQ46" s="111">
        <v>0</v>
      </c>
      <c r="AR46" s="111">
        <v>0</v>
      </c>
      <c r="AS46" s="111">
        <v>0</v>
      </c>
      <c r="AT46" s="112">
        <v>0</v>
      </c>
    </row>
    <row r="47" spans="2:46" ht="12" customHeight="1" x14ac:dyDescent="0.3">
      <c r="B47" s="110" t="s">
        <v>33</v>
      </c>
      <c r="C47" s="111" t="s">
        <v>84</v>
      </c>
      <c r="D47" s="111" t="s">
        <v>25</v>
      </c>
      <c r="E47" s="111" t="s">
        <v>25</v>
      </c>
      <c r="F47" s="111" t="s">
        <v>25</v>
      </c>
      <c r="G47" s="111" t="s">
        <v>25</v>
      </c>
      <c r="H47" s="111" t="s">
        <v>69</v>
      </c>
      <c r="I47" s="111" t="s">
        <v>25</v>
      </c>
      <c r="J47" s="111">
        <v>756.33</v>
      </c>
      <c r="K47" s="111">
        <v>124.87</v>
      </c>
      <c r="L47" s="111">
        <v>0</v>
      </c>
      <c r="M47" s="111">
        <v>2.1629228538445302</v>
      </c>
      <c r="N47" s="111">
        <v>0</v>
      </c>
      <c r="O47" s="111">
        <v>0</v>
      </c>
      <c r="P47" s="111">
        <v>0</v>
      </c>
      <c r="Q47" s="111">
        <v>90.390041028898594</v>
      </c>
      <c r="R47" s="111">
        <v>14.2759583225555</v>
      </c>
      <c r="S47" s="111">
        <v>0</v>
      </c>
      <c r="T47" s="111">
        <v>0</v>
      </c>
      <c r="U47" s="111">
        <v>0</v>
      </c>
      <c r="V47" s="111">
        <v>0</v>
      </c>
      <c r="W47" s="111">
        <v>0</v>
      </c>
      <c r="X47" s="111">
        <v>109.48237123272099</v>
      </c>
      <c r="Y47" s="111">
        <v>0</v>
      </c>
      <c r="Z47" s="111">
        <v>0</v>
      </c>
      <c r="AA47" s="111">
        <v>518.36410285402803</v>
      </c>
      <c r="AB47" s="111">
        <v>0</v>
      </c>
      <c r="AC47" s="111">
        <v>0</v>
      </c>
      <c r="AD47" s="111">
        <v>0</v>
      </c>
      <c r="AE47" s="111">
        <v>21.650685326441099</v>
      </c>
      <c r="AF47" s="111">
        <v>0</v>
      </c>
      <c r="AG47" s="111">
        <v>0</v>
      </c>
      <c r="AH47" s="111">
        <v>0</v>
      </c>
      <c r="AI47" s="111">
        <v>0</v>
      </c>
      <c r="AJ47" s="111">
        <v>0</v>
      </c>
      <c r="AK47" s="111">
        <v>0</v>
      </c>
      <c r="AL47" s="111">
        <v>0</v>
      </c>
      <c r="AM47" s="111">
        <v>0</v>
      </c>
      <c r="AN47" s="111">
        <v>124.87025481095201</v>
      </c>
      <c r="AO47" s="111">
        <v>0</v>
      </c>
      <c r="AP47" s="111">
        <v>0</v>
      </c>
      <c r="AQ47" s="111">
        <v>0</v>
      </c>
      <c r="AR47" s="111">
        <v>0</v>
      </c>
      <c r="AS47" s="111">
        <v>0</v>
      </c>
      <c r="AT47" s="112">
        <v>0</v>
      </c>
    </row>
    <row r="48" spans="2:46" ht="12" customHeight="1" x14ac:dyDescent="0.3">
      <c r="B48" s="110" t="s">
        <v>45</v>
      </c>
      <c r="C48" s="111" t="s">
        <v>23</v>
      </c>
      <c r="D48" s="111" t="s">
        <v>46</v>
      </c>
      <c r="E48" s="111" t="s">
        <v>47</v>
      </c>
      <c r="F48" s="111" t="s">
        <v>25</v>
      </c>
      <c r="G48" s="111" t="s">
        <v>25</v>
      </c>
      <c r="H48" s="111" t="s">
        <v>69</v>
      </c>
      <c r="I48" s="111" t="s">
        <v>25</v>
      </c>
      <c r="J48" s="111">
        <v>415.98</v>
      </c>
      <c r="K48" s="111">
        <v>68.680000000000007</v>
      </c>
      <c r="L48" s="111">
        <v>0</v>
      </c>
      <c r="M48" s="111">
        <v>1.1896075696144901</v>
      </c>
      <c r="N48" s="111">
        <v>0</v>
      </c>
      <c r="O48" s="111">
        <v>0</v>
      </c>
      <c r="P48" s="111">
        <v>0</v>
      </c>
      <c r="Q48" s="111">
        <v>49.7145225658942</v>
      </c>
      <c r="R48" s="111">
        <v>7.85177707740554</v>
      </c>
      <c r="S48" s="111">
        <v>0</v>
      </c>
      <c r="T48" s="111">
        <v>0</v>
      </c>
      <c r="U48" s="111">
        <v>0</v>
      </c>
      <c r="V48" s="111">
        <v>0</v>
      </c>
      <c r="W48" s="111">
        <v>0</v>
      </c>
      <c r="X48" s="111">
        <v>60.2153041779966</v>
      </c>
      <c r="Y48" s="111">
        <v>0</v>
      </c>
      <c r="Z48" s="111">
        <v>0</v>
      </c>
      <c r="AA48" s="111">
        <v>285.10025656971601</v>
      </c>
      <c r="AB48" s="111">
        <v>0</v>
      </c>
      <c r="AC48" s="111">
        <v>0</v>
      </c>
      <c r="AD48" s="111">
        <v>0</v>
      </c>
      <c r="AE48" s="111">
        <v>11.907876929542599</v>
      </c>
      <c r="AF48" s="111">
        <v>0</v>
      </c>
      <c r="AG48" s="111">
        <v>0</v>
      </c>
      <c r="AH48" s="111">
        <v>0</v>
      </c>
      <c r="AI48" s="111">
        <v>0</v>
      </c>
      <c r="AJ48" s="111">
        <v>0</v>
      </c>
      <c r="AK48" s="111">
        <v>0</v>
      </c>
      <c r="AL48" s="111">
        <v>0</v>
      </c>
      <c r="AM48" s="111">
        <v>0</v>
      </c>
      <c r="AN48" s="111">
        <v>68.678640146023795</v>
      </c>
      <c r="AO48" s="111">
        <v>0</v>
      </c>
      <c r="AP48" s="111">
        <v>0</v>
      </c>
      <c r="AQ48" s="111">
        <v>0</v>
      </c>
      <c r="AR48" s="111">
        <v>0</v>
      </c>
      <c r="AS48" s="111">
        <v>0</v>
      </c>
      <c r="AT48" s="112">
        <v>0</v>
      </c>
    </row>
    <row r="49" spans="2:46" ht="12" customHeight="1" x14ac:dyDescent="0.3">
      <c r="B49" s="113" t="s">
        <v>45</v>
      </c>
      <c r="C49" s="114" t="s">
        <v>23</v>
      </c>
      <c r="D49" s="114" t="s">
        <v>46</v>
      </c>
      <c r="E49" s="114" t="s">
        <v>87</v>
      </c>
      <c r="F49" s="114" t="s">
        <v>25</v>
      </c>
      <c r="G49" s="114" t="s">
        <v>25</v>
      </c>
      <c r="H49" s="114" t="s">
        <v>69</v>
      </c>
      <c r="I49" s="114" t="s">
        <v>25</v>
      </c>
      <c r="J49" s="114">
        <v>453.8</v>
      </c>
      <c r="K49" s="114">
        <v>74.92</v>
      </c>
      <c r="L49" s="114">
        <v>0</v>
      </c>
      <c r="M49" s="114">
        <v>1.29775371230672</v>
      </c>
      <c r="N49" s="114">
        <v>0</v>
      </c>
      <c r="O49" s="114">
        <v>0</v>
      </c>
      <c r="P49" s="114">
        <v>0</v>
      </c>
      <c r="Q49" s="114">
        <v>54.234024617339102</v>
      </c>
      <c r="R49" s="114">
        <v>8.5655749935333194</v>
      </c>
      <c r="S49" s="114">
        <v>0</v>
      </c>
      <c r="T49" s="114">
        <v>0</v>
      </c>
      <c r="U49" s="114">
        <v>0</v>
      </c>
      <c r="V49" s="114">
        <v>0</v>
      </c>
      <c r="W49" s="114">
        <v>0</v>
      </c>
      <c r="X49" s="114">
        <v>65.689422739632604</v>
      </c>
      <c r="Y49" s="114">
        <v>0</v>
      </c>
      <c r="Z49" s="114">
        <v>0</v>
      </c>
      <c r="AA49" s="114">
        <v>311.01846171241698</v>
      </c>
      <c r="AB49" s="114">
        <v>0</v>
      </c>
      <c r="AC49" s="114">
        <v>0</v>
      </c>
      <c r="AD49" s="114">
        <v>0</v>
      </c>
      <c r="AE49" s="114">
        <v>12.990411195864599</v>
      </c>
      <c r="AF49" s="114">
        <v>0</v>
      </c>
      <c r="AG49" s="114">
        <v>0</v>
      </c>
      <c r="AH49" s="114">
        <v>0</v>
      </c>
      <c r="AI49" s="114">
        <v>0</v>
      </c>
      <c r="AJ49" s="114">
        <v>0</v>
      </c>
      <c r="AK49" s="114">
        <v>0</v>
      </c>
      <c r="AL49" s="114">
        <v>0</v>
      </c>
      <c r="AM49" s="114">
        <v>0</v>
      </c>
      <c r="AN49" s="114">
        <v>74.922152886571396</v>
      </c>
      <c r="AO49" s="114">
        <v>0</v>
      </c>
      <c r="AP49" s="114">
        <v>0</v>
      </c>
      <c r="AQ49" s="114">
        <v>0</v>
      </c>
      <c r="AR49" s="114">
        <v>0</v>
      </c>
      <c r="AS49" s="114">
        <v>0</v>
      </c>
      <c r="AT49" s="115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8604-9EAC-4F6D-9375-E91F0556D473}">
  <dimension ref="B1:AT49"/>
  <sheetViews>
    <sheetView showGridLines="0" tabSelected="1" workbookViewId="0">
      <selection activeCell="B4" sqref="B4"/>
    </sheetView>
  </sheetViews>
  <sheetFormatPr defaultRowHeight="14.4" x14ac:dyDescent="0.3"/>
  <cols>
    <col min="2" max="2" width="12.77734375" bestFit="1" customWidth="1"/>
    <col min="3" max="3" width="25.44140625" bestFit="1" customWidth="1"/>
    <col min="4" max="4" width="16.33203125" bestFit="1" customWidth="1"/>
    <col min="5" max="5" width="28.77734375" bestFit="1" customWidth="1"/>
    <col min="6" max="6" width="11.88671875" bestFit="1" customWidth="1"/>
    <col min="7" max="7" width="12.109375" bestFit="1" customWidth="1"/>
    <col min="8" max="8" width="11.109375" bestFit="1" customWidth="1"/>
    <col min="9" max="9" width="13.109375" bestFit="1" customWidth="1"/>
    <col min="10" max="10" width="12.44140625" bestFit="1" customWidth="1"/>
    <col min="11" max="11" width="9.88671875" bestFit="1" customWidth="1"/>
    <col min="12" max="12" width="18.6640625" bestFit="1" customWidth="1"/>
    <col min="13" max="13" width="13.6640625" bestFit="1" customWidth="1"/>
    <col min="14" max="14" width="12.109375" bestFit="1" customWidth="1"/>
    <col min="15" max="15" width="12.44140625" bestFit="1" customWidth="1"/>
    <col min="16" max="17" width="12.109375" bestFit="1" customWidth="1"/>
    <col min="18" max="18" width="16.44140625" bestFit="1" customWidth="1"/>
    <col min="19" max="19" width="10.44140625" bestFit="1" customWidth="1"/>
    <col min="20" max="20" width="11" bestFit="1" customWidth="1"/>
    <col min="21" max="21" width="10.77734375" bestFit="1" customWidth="1"/>
    <col min="22" max="22" width="12" bestFit="1" customWidth="1"/>
    <col min="23" max="23" width="12.21875" bestFit="1" customWidth="1"/>
    <col min="24" max="24" width="13.44140625" bestFit="1" customWidth="1"/>
    <col min="25" max="25" width="11" bestFit="1" customWidth="1"/>
    <col min="26" max="26" width="13.6640625" bestFit="1" customWidth="1"/>
    <col min="27" max="27" width="12.33203125" bestFit="1" customWidth="1"/>
    <col min="28" max="28" width="15.44140625" bestFit="1" customWidth="1"/>
    <col min="29" max="29" width="24.33203125" bestFit="1" customWidth="1"/>
    <col min="30" max="30" width="13.88671875" bestFit="1" customWidth="1"/>
    <col min="31" max="31" width="10.88671875" bestFit="1" customWidth="1"/>
    <col min="32" max="32" width="17.109375" bestFit="1" customWidth="1"/>
    <col min="33" max="33" width="12.21875" bestFit="1" customWidth="1"/>
    <col min="34" max="34" width="10.44140625" bestFit="1" customWidth="1"/>
    <col min="35" max="35" width="16.109375" bestFit="1" customWidth="1"/>
    <col min="36" max="36" width="14.44140625" bestFit="1" customWidth="1"/>
    <col min="37" max="37" width="9.5546875" bestFit="1" customWidth="1"/>
    <col min="38" max="38" width="12.44140625" bestFit="1" customWidth="1"/>
    <col min="39" max="39" width="11.88671875" bestFit="1" customWidth="1"/>
    <col min="40" max="40" width="13.6640625" bestFit="1" customWidth="1"/>
    <col min="41" max="41" width="24.5546875" bestFit="1" customWidth="1"/>
    <col min="42" max="42" width="17.44140625" bestFit="1" customWidth="1"/>
    <col min="43" max="43" width="13.21875" bestFit="1" customWidth="1"/>
    <col min="44" max="44" width="12.77734375" bestFit="1" customWidth="1"/>
    <col min="45" max="45" width="21.6640625" bestFit="1" customWidth="1"/>
    <col min="46" max="46" width="12.21875" bestFit="1" customWidth="1"/>
  </cols>
  <sheetData>
    <row r="1" spans="2:46" ht="12" customHeight="1" x14ac:dyDescent="0.3">
      <c r="L1" s="116" t="s">
        <v>750</v>
      </c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16"/>
      <c r="AN1" s="116"/>
      <c r="AO1" s="116"/>
      <c r="AP1" s="116"/>
      <c r="AQ1" s="116"/>
      <c r="AR1" s="116"/>
      <c r="AS1" s="116"/>
      <c r="AT1" s="116"/>
    </row>
    <row r="2" spans="2:46" ht="12" customHeight="1" x14ac:dyDescent="0.3">
      <c r="L2" s="117" t="s">
        <v>424</v>
      </c>
      <c r="M2" s="117"/>
      <c r="N2" s="117"/>
      <c r="O2" s="117"/>
      <c r="P2" s="117"/>
      <c r="Q2" s="117"/>
      <c r="R2" s="117"/>
      <c r="S2" s="118"/>
      <c r="T2" s="117" t="s">
        <v>433</v>
      </c>
      <c r="U2" s="117"/>
      <c r="V2" s="117"/>
      <c r="W2" s="117"/>
      <c r="X2" s="117"/>
      <c r="Y2" s="117"/>
      <c r="Z2" s="118"/>
      <c r="AA2" s="119" t="s">
        <v>441</v>
      </c>
      <c r="AB2" s="117" t="s">
        <v>25</v>
      </c>
      <c r="AC2" s="117"/>
      <c r="AD2" s="118"/>
      <c r="AE2" s="117" t="s">
        <v>749</v>
      </c>
      <c r="AF2" s="117"/>
      <c r="AG2" s="117"/>
      <c r="AH2" s="118"/>
      <c r="AI2" s="117" t="s">
        <v>424</v>
      </c>
      <c r="AJ2" s="117"/>
      <c r="AK2" s="117"/>
      <c r="AL2" s="117"/>
      <c r="AM2" s="118"/>
      <c r="AN2" s="119" t="s">
        <v>455</v>
      </c>
      <c r="AO2" s="117" t="s">
        <v>433</v>
      </c>
      <c r="AP2" s="117"/>
      <c r="AQ2" s="117"/>
      <c r="AR2" s="117"/>
      <c r="AS2" s="118"/>
      <c r="AT2" s="120" t="s">
        <v>749</v>
      </c>
    </row>
    <row r="3" spans="2:46" ht="12" customHeight="1" x14ac:dyDescent="0.3">
      <c r="B3" s="107" t="s">
        <v>59</v>
      </c>
      <c r="C3" s="108" t="s">
        <v>60</v>
      </c>
      <c r="D3" s="108" t="s">
        <v>61</v>
      </c>
      <c r="E3" s="108" t="s">
        <v>62</v>
      </c>
      <c r="F3" s="108" t="s">
        <v>63</v>
      </c>
      <c r="G3" s="108" t="s">
        <v>65</v>
      </c>
      <c r="H3" s="108" t="s">
        <v>66</v>
      </c>
      <c r="I3" s="108" t="s">
        <v>687</v>
      </c>
      <c r="J3" s="108" t="s">
        <v>711</v>
      </c>
      <c r="K3" s="108" t="s">
        <v>712</v>
      </c>
      <c r="L3" s="108" t="s">
        <v>713</v>
      </c>
      <c r="M3" s="108" t="s">
        <v>714</v>
      </c>
      <c r="N3" s="108" t="s">
        <v>715</v>
      </c>
      <c r="O3" s="108" t="s">
        <v>716</v>
      </c>
      <c r="P3" s="108" t="s">
        <v>717</v>
      </c>
      <c r="Q3" s="108" t="s">
        <v>718</v>
      </c>
      <c r="R3" s="108" t="s">
        <v>719</v>
      </c>
      <c r="S3" s="108" t="s">
        <v>720</v>
      </c>
      <c r="T3" s="108" t="s">
        <v>721</v>
      </c>
      <c r="U3" s="108" t="s">
        <v>722</v>
      </c>
      <c r="V3" s="108" t="s">
        <v>723</v>
      </c>
      <c r="W3" s="108" t="s">
        <v>724</v>
      </c>
      <c r="X3" s="108" t="s">
        <v>725</v>
      </c>
      <c r="Y3" s="108" t="s">
        <v>726</v>
      </c>
      <c r="Z3" s="108" t="s">
        <v>727</v>
      </c>
      <c r="AA3" s="108" t="s">
        <v>728</v>
      </c>
      <c r="AB3" s="108" t="s">
        <v>729</v>
      </c>
      <c r="AC3" s="108" t="s">
        <v>730</v>
      </c>
      <c r="AD3" s="108" t="s">
        <v>731</v>
      </c>
      <c r="AE3" s="108" t="s">
        <v>732</v>
      </c>
      <c r="AF3" s="108" t="s">
        <v>733</v>
      </c>
      <c r="AG3" s="108" t="s">
        <v>734</v>
      </c>
      <c r="AH3" s="108" t="s">
        <v>735</v>
      </c>
      <c r="AI3" s="108" t="s">
        <v>736</v>
      </c>
      <c r="AJ3" s="108" t="s">
        <v>737</v>
      </c>
      <c r="AK3" s="108" t="s">
        <v>738</v>
      </c>
      <c r="AL3" s="108" t="s">
        <v>739</v>
      </c>
      <c r="AM3" s="108" t="s">
        <v>740</v>
      </c>
      <c r="AN3" s="108" t="s">
        <v>741</v>
      </c>
      <c r="AO3" s="108" t="s">
        <v>742</v>
      </c>
      <c r="AP3" s="108" t="s">
        <v>743</v>
      </c>
      <c r="AQ3" s="108" t="s">
        <v>744</v>
      </c>
      <c r="AR3" s="108" t="s">
        <v>745</v>
      </c>
      <c r="AS3" s="108" t="s">
        <v>746</v>
      </c>
      <c r="AT3" s="109" t="s">
        <v>747</v>
      </c>
    </row>
    <row r="4" spans="2:46" ht="12" customHeight="1" x14ac:dyDescent="0.3">
      <c r="B4" s="110" t="s">
        <v>35</v>
      </c>
      <c r="C4" s="111" t="s">
        <v>50</v>
      </c>
      <c r="D4" s="111" t="s">
        <v>25</v>
      </c>
      <c r="E4" s="111" t="s">
        <v>25</v>
      </c>
      <c r="F4" s="111" t="s">
        <v>76</v>
      </c>
      <c r="G4" s="111" t="s">
        <v>37</v>
      </c>
      <c r="H4" s="111" t="s">
        <v>69</v>
      </c>
      <c r="I4" s="111" t="s">
        <v>25</v>
      </c>
      <c r="J4" s="111">
        <v>0</v>
      </c>
      <c r="K4" s="111">
        <v>0</v>
      </c>
      <c r="L4" s="111">
        <v>0</v>
      </c>
      <c r="M4" s="111">
        <v>0</v>
      </c>
      <c r="N4" s="111">
        <v>0</v>
      </c>
      <c r="O4" s="111">
        <v>0</v>
      </c>
      <c r="P4" s="111">
        <v>0</v>
      </c>
      <c r="Q4" s="111">
        <v>0</v>
      </c>
      <c r="R4" s="111">
        <v>0</v>
      </c>
      <c r="S4" s="111">
        <v>0</v>
      </c>
      <c r="T4" s="111">
        <v>0</v>
      </c>
      <c r="U4" s="111">
        <v>0</v>
      </c>
      <c r="V4" s="111">
        <v>0</v>
      </c>
      <c r="W4" s="111">
        <v>0</v>
      </c>
      <c r="X4" s="111">
        <v>0</v>
      </c>
      <c r="Y4" s="111">
        <v>0</v>
      </c>
      <c r="Z4" s="111">
        <v>0</v>
      </c>
      <c r="AA4" s="111">
        <v>0</v>
      </c>
      <c r="AB4" s="111">
        <v>0</v>
      </c>
      <c r="AC4" s="111">
        <v>0</v>
      </c>
      <c r="AD4" s="111">
        <v>0</v>
      </c>
      <c r="AE4" s="111">
        <v>0</v>
      </c>
      <c r="AF4" s="111">
        <v>0</v>
      </c>
      <c r="AG4" s="111">
        <v>0</v>
      </c>
      <c r="AH4" s="111">
        <v>0</v>
      </c>
      <c r="AI4" s="111">
        <v>0</v>
      </c>
      <c r="AJ4" s="111">
        <v>0</v>
      </c>
      <c r="AK4" s="111">
        <v>0</v>
      </c>
      <c r="AL4" s="111">
        <v>0</v>
      </c>
      <c r="AM4" s="111">
        <v>0</v>
      </c>
      <c r="AN4" s="111">
        <v>0</v>
      </c>
      <c r="AO4" s="111">
        <v>0</v>
      </c>
      <c r="AP4" s="111">
        <v>0</v>
      </c>
      <c r="AQ4" s="111">
        <v>0</v>
      </c>
      <c r="AR4" s="111">
        <v>0</v>
      </c>
      <c r="AS4" s="111">
        <v>0</v>
      </c>
      <c r="AT4" s="112">
        <v>0</v>
      </c>
    </row>
    <row r="5" spans="2:46" ht="12" customHeight="1" x14ac:dyDescent="0.3">
      <c r="B5" s="110" t="s">
        <v>35</v>
      </c>
      <c r="C5" s="111" t="s">
        <v>50</v>
      </c>
      <c r="D5" s="111" t="s">
        <v>25</v>
      </c>
      <c r="E5" s="111" t="s">
        <v>25</v>
      </c>
      <c r="F5" s="111" t="s">
        <v>76</v>
      </c>
      <c r="G5" s="111" t="s">
        <v>37</v>
      </c>
      <c r="H5" s="111" t="s">
        <v>72</v>
      </c>
      <c r="I5" s="111" t="s">
        <v>25</v>
      </c>
      <c r="J5" s="111">
        <v>0</v>
      </c>
      <c r="K5" s="111">
        <v>0</v>
      </c>
      <c r="L5" s="111">
        <v>0</v>
      </c>
      <c r="M5" s="111">
        <v>0</v>
      </c>
      <c r="N5" s="111">
        <v>0</v>
      </c>
      <c r="O5" s="111">
        <v>0</v>
      </c>
      <c r="P5" s="111">
        <v>0</v>
      </c>
      <c r="Q5" s="111">
        <v>0</v>
      </c>
      <c r="R5" s="111">
        <v>0</v>
      </c>
      <c r="S5" s="111">
        <v>0</v>
      </c>
      <c r="T5" s="111">
        <v>0</v>
      </c>
      <c r="U5" s="111">
        <v>0</v>
      </c>
      <c r="V5" s="111">
        <v>0</v>
      </c>
      <c r="W5" s="111">
        <v>0</v>
      </c>
      <c r="X5" s="111">
        <v>0</v>
      </c>
      <c r="Y5" s="111">
        <v>0</v>
      </c>
      <c r="Z5" s="111">
        <v>0</v>
      </c>
      <c r="AA5" s="111">
        <v>0</v>
      </c>
      <c r="AB5" s="111">
        <v>0</v>
      </c>
      <c r="AC5" s="111">
        <v>0</v>
      </c>
      <c r="AD5" s="111">
        <v>0</v>
      </c>
      <c r="AE5" s="111">
        <v>0</v>
      </c>
      <c r="AF5" s="111">
        <v>0</v>
      </c>
      <c r="AG5" s="111">
        <v>0</v>
      </c>
      <c r="AH5" s="111">
        <v>0</v>
      </c>
      <c r="AI5" s="111">
        <v>0</v>
      </c>
      <c r="AJ5" s="111">
        <v>0</v>
      </c>
      <c r="AK5" s="111">
        <v>0</v>
      </c>
      <c r="AL5" s="111">
        <v>0</v>
      </c>
      <c r="AM5" s="111">
        <v>0</v>
      </c>
      <c r="AN5" s="111">
        <v>0</v>
      </c>
      <c r="AO5" s="111">
        <v>0</v>
      </c>
      <c r="AP5" s="111">
        <v>0</v>
      </c>
      <c r="AQ5" s="111">
        <v>0</v>
      </c>
      <c r="AR5" s="111">
        <v>0</v>
      </c>
      <c r="AS5" s="111">
        <v>0</v>
      </c>
      <c r="AT5" s="112">
        <v>0</v>
      </c>
    </row>
    <row r="6" spans="2:46" ht="12" customHeight="1" x14ac:dyDescent="0.3">
      <c r="B6" s="110" t="s">
        <v>35</v>
      </c>
      <c r="C6" s="111" t="s">
        <v>50</v>
      </c>
      <c r="D6" s="111" t="s">
        <v>25</v>
      </c>
      <c r="E6" s="111" t="s">
        <v>25</v>
      </c>
      <c r="F6" s="111" t="s">
        <v>76</v>
      </c>
      <c r="G6" s="111" t="s">
        <v>38</v>
      </c>
      <c r="H6" s="111" t="s">
        <v>69</v>
      </c>
      <c r="I6" s="111" t="s">
        <v>25</v>
      </c>
      <c r="J6" s="111">
        <v>0</v>
      </c>
      <c r="K6" s="111">
        <v>0</v>
      </c>
      <c r="L6" s="111">
        <v>0</v>
      </c>
      <c r="M6" s="111">
        <v>0</v>
      </c>
      <c r="N6" s="111">
        <v>0</v>
      </c>
      <c r="O6" s="111">
        <v>0</v>
      </c>
      <c r="P6" s="111">
        <v>0</v>
      </c>
      <c r="Q6" s="111">
        <v>0</v>
      </c>
      <c r="R6" s="111">
        <v>0</v>
      </c>
      <c r="S6" s="111">
        <v>0</v>
      </c>
      <c r="T6" s="111">
        <v>0</v>
      </c>
      <c r="U6" s="111">
        <v>0</v>
      </c>
      <c r="V6" s="111">
        <v>0</v>
      </c>
      <c r="W6" s="111">
        <v>0</v>
      </c>
      <c r="X6" s="111">
        <v>0</v>
      </c>
      <c r="Y6" s="111">
        <v>0</v>
      </c>
      <c r="Z6" s="111">
        <v>0</v>
      </c>
      <c r="AA6" s="111">
        <v>0</v>
      </c>
      <c r="AB6" s="111">
        <v>0</v>
      </c>
      <c r="AC6" s="111">
        <v>0</v>
      </c>
      <c r="AD6" s="111">
        <v>0</v>
      </c>
      <c r="AE6" s="111">
        <v>0</v>
      </c>
      <c r="AF6" s="111">
        <v>0</v>
      </c>
      <c r="AG6" s="111">
        <v>0</v>
      </c>
      <c r="AH6" s="111">
        <v>0</v>
      </c>
      <c r="AI6" s="111">
        <v>0</v>
      </c>
      <c r="AJ6" s="111">
        <v>0</v>
      </c>
      <c r="AK6" s="111">
        <v>0</v>
      </c>
      <c r="AL6" s="111">
        <v>0</v>
      </c>
      <c r="AM6" s="111">
        <v>0</v>
      </c>
      <c r="AN6" s="111">
        <v>0</v>
      </c>
      <c r="AO6" s="111">
        <v>0</v>
      </c>
      <c r="AP6" s="111">
        <v>0</v>
      </c>
      <c r="AQ6" s="111">
        <v>0</v>
      </c>
      <c r="AR6" s="111">
        <v>0</v>
      </c>
      <c r="AS6" s="111">
        <v>0</v>
      </c>
      <c r="AT6" s="112">
        <v>0</v>
      </c>
    </row>
    <row r="7" spans="2:46" ht="12" customHeight="1" x14ac:dyDescent="0.3">
      <c r="B7" s="110" t="s">
        <v>35</v>
      </c>
      <c r="C7" s="111" t="s">
        <v>50</v>
      </c>
      <c r="D7" s="111" t="s">
        <v>25</v>
      </c>
      <c r="E7" s="111" t="s">
        <v>25</v>
      </c>
      <c r="F7" s="111" t="s">
        <v>76</v>
      </c>
      <c r="G7" s="111" t="s">
        <v>38</v>
      </c>
      <c r="H7" s="111" t="s">
        <v>72</v>
      </c>
      <c r="I7" s="111" t="s">
        <v>25</v>
      </c>
      <c r="J7" s="111">
        <v>0</v>
      </c>
      <c r="K7" s="111">
        <v>0</v>
      </c>
      <c r="L7" s="111">
        <v>0</v>
      </c>
      <c r="M7" s="111">
        <v>0</v>
      </c>
      <c r="N7" s="111">
        <v>0</v>
      </c>
      <c r="O7" s="111">
        <v>0</v>
      </c>
      <c r="P7" s="111">
        <v>0</v>
      </c>
      <c r="Q7" s="111">
        <v>0</v>
      </c>
      <c r="R7" s="111">
        <v>0</v>
      </c>
      <c r="S7" s="111">
        <v>0</v>
      </c>
      <c r="T7" s="111">
        <v>0</v>
      </c>
      <c r="U7" s="111">
        <v>0</v>
      </c>
      <c r="V7" s="111">
        <v>0</v>
      </c>
      <c r="W7" s="111">
        <v>0</v>
      </c>
      <c r="X7" s="111">
        <v>0</v>
      </c>
      <c r="Y7" s="111">
        <v>0</v>
      </c>
      <c r="Z7" s="111">
        <v>0</v>
      </c>
      <c r="AA7" s="111">
        <v>0</v>
      </c>
      <c r="AB7" s="111">
        <v>0</v>
      </c>
      <c r="AC7" s="111">
        <v>0</v>
      </c>
      <c r="AD7" s="111">
        <v>0</v>
      </c>
      <c r="AE7" s="111">
        <v>0</v>
      </c>
      <c r="AF7" s="111">
        <v>0</v>
      </c>
      <c r="AG7" s="111">
        <v>0</v>
      </c>
      <c r="AH7" s="111">
        <v>0</v>
      </c>
      <c r="AI7" s="111">
        <v>0</v>
      </c>
      <c r="AJ7" s="111">
        <v>0</v>
      </c>
      <c r="AK7" s="111">
        <v>0</v>
      </c>
      <c r="AL7" s="111">
        <v>0</v>
      </c>
      <c r="AM7" s="111">
        <v>0</v>
      </c>
      <c r="AN7" s="111">
        <v>0</v>
      </c>
      <c r="AO7" s="111">
        <v>0</v>
      </c>
      <c r="AP7" s="111">
        <v>0</v>
      </c>
      <c r="AQ7" s="111">
        <v>0</v>
      </c>
      <c r="AR7" s="111">
        <v>0</v>
      </c>
      <c r="AS7" s="111">
        <v>0</v>
      </c>
      <c r="AT7" s="112">
        <v>0</v>
      </c>
    </row>
    <row r="8" spans="2:46" ht="12" customHeight="1" x14ac:dyDescent="0.3">
      <c r="B8" s="110" t="s">
        <v>35</v>
      </c>
      <c r="C8" s="111" t="s">
        <v>50</v>
      </c>
      <c r="D8" s="111" t="s">
        <v>25</v>
      </c>
      <c r="E8" s="111" t="s">
        <v>25</v>
      </c>
      <c r="F8" s="111" t="s">
        <v>25</v>
      </c>
      <c r="G8" s="111" t="s">
        <v>37</v>
      </c>
      <c r="H8" s="111" t="s">
        <v>69</v>
      </c>
      <c r="I8" s="111" t="s">
        <v>25</v>
      </c>
      <c r="J8" s="111">
        <v>0</v>
      </c>
      <c r="K8" s="111">
        <v>0</v>
      </c>
      <c r="L8" s="111">
        <v>0</v>
      </c>
      <c r="M8" s="111">
        <v>0</v>
      </c>
      <c r="N8" s="111">
        <v>0</v>
      </c>
      <c r="O8" s="111">
        <v>0</v>
      </c>
      <c r="P8" s="111">
        <v>0</v>
      </c>
      <c r="Q8" s="111">
        <v>0</v>
      </c>
      <c r="R8" s="111">
        <v>0</v>
      </c>
      <c r="S8" s="111">
        <v>0</v>
      </c>
      <c r="T8" s="111">
        <v>0</v>
      </c>
      <c r="U8" s="111">
        <v>0</v>
      </c>
      <c r="V8" s="111">
        <v>0</v>
      </c>
      <c r="W8" s="111">
        <v>0</v>
      </c>
      <c r="X8" s="111">
        <v>0</v>
      </c>
      <c r="Y8" s="111">
        <v>0</v>
      </c>
      <c r="Z8" s="111">
        <v>0</v>
      </c>
      <c r="AA8" s="111">
        <v>0</v>
      </c>
      <c r="AB8" s="111">
        <v>0</v>
      </c>
      <c r="AC8" s="111">
        <v>0</v>
      </c>
      <c r="AD8" s="111">
        <v>0</v>
      </c>
      <c r="AE8" s="111">
        <v>0</v>
      </c>
      <c r="AF8" s="111">
        <v>0</v>
      </c>
      <c r="AG8" s="111">
        <v>0</v>
      </c>
      <c r="AH8" s="111">
        <v>0</v>
      </c>
      <c r="AI8" s="111">
        <v>0</v>
      </c>
      <c r="AJ8" s="111">
        <v>0</v>
      </c>
      <c r="AK8" s="111">
        <v>0</v>
      </c>
      <c r="AL8" s="111">
        <v>0</v>
      </c>
      <c r="AM8" s="111">
        <v>0</v>
      </c>
      <c r="AN8" s="111">
        <v>0</v>
      </c>
      <c r="AO8" s="111">
        <v>0</v>
      </c>
      <c r="AP8" s="111">
        <v>0</v>
      </c>
      <c r="AQ8" s="111">
        <v>0</v>
      </c>
      <c r="AR8" s="111">
        <v>0</v>
      </c>
      <c r="AS8" s="111">
        <v>0</v>
      </c>
      <c r="AT8" s="112">
        <v>0</v>
      </c>
    </row>
    <row r="9" spans="2:46" ht="12" customHeight="1" x14ac:dyDescent="0.3">
      <c r="B9" s="110" t="s">
        <v>35</v>
      </c>
      <c r="C9" s="111" t="s">
        <v>50</v>
      </c>
      <c r="D9" s="111" t="s">
        <v>25</v>
      </c>
      <c r="E9" s="111" t="s">
        <v>25</v>
      </c>
      <c r="F9" s="111" t="s">
        <v>25</v>
      </c>
      <c r="G9" s="111" t="s">
        <v>37</v>
      </c>
      <c r="H9" s="111" t="s">
        <v>72</v>
      </c>
      <c r="I9" s="111" t="s">
        <v>25</v>
      </c>
      <c r="J9" s="111">
        <v>0</v>
      </c>
      <c r="K9" s="111">
        <v>0</v>
      </c>
      <c r="L9" s="111">
        <v>0</v>
      </c>
      <c r="M9" s="111">
        <v>0</v>
      </c>
      <c r="N9" s="111">
        <v>0</v>
      </c>
      <c r="O9" s="111">
        <v>0</v>
      </c>
      <c r="P9" s="111">
        <v>0</v>
      </c>
      <c r="Q9" s="111">
        <v>0</v>
      </c>
      <c r="R9" s="111">
        <v>0</v>
      </c>
      <c r="S9" s="111">
        <v>0</v>
      </c>
      <c r="T9" s="111">
        <v>0</v>
      </c>
      <c r="U9" s="111">
        <v>0</v>
      </c>
      <c r="V9" s="111">
        <v>0</v>
      </c>
      <c r="W9" s="111">
        <v>0</v>
      </c>
      <c r="X9" s="111">
        <v>0</v>
      </c>
      <c r="Y9" s="111">
        <v>0</v>
      </c>
      <c r="Z9" s="111">
        <v>0</v>
      </c>
      <c r="AA9" s="111">
        <v>0</v>
      </c>
      <c r="AB9" s="111">
        <v>0</v>
      </c>
      <c r="AC9" s="111">
        <v>0</v>
      </c>
      <c r="AD9" s="111">
        <v>0</v>
      </c>
      <c r="AE9" s="111">
        <v>0</v>
      </c>
      <c r="AF9" s="111">
        <v>0</v>
      </c>
      <c r="AG9" s="111">
        <v>0</v>
      </c>
      <c r="AH9" s="111">
        <v>0</v>
      </c>
      <c r="AI9" s="111">
        <v>0</v>
      </c>
      <c r="AJ9" s="111">
        <v>0</v>
      </c>
      <c r="AK9" s="111">
        <v>0</v>
      </c>
      <c r="AL9" s="111">
        <v>0</v>
      </c>
      <c r="AM9" s="111">
        <v>0</v>
      </c>
      <c r="AN9" s="111">
        <v>0</v>
      </c>
      <c r="AO9" s="111">
        <v>0</v>
      </c>
      <c r="AP9" s="111">
        <v>0</v>
      </c>
      <c r="AQ9" s="111">
        <v>0</v>
      </c>
      <c r="AR9" s="111">
        <v>0</v>
      </c>
      <c r="AS9" s="111">
        <v>0</v>
      </c>
      <c r="AT9" s="112">
        <v>0</v>
      </c>
    </row>
    <row r="10" spans="2:46" ht="12" customHeight="1" x14ac:dyDescent="0.3">
      <c r="B10" s="110" t="s">
        <v>35</v>
      </c>
      <c r="C10" s="111" t="s">
        <v>50</v>
      </c>
      <c r="D10" s="111" t="s">
        <v>25</v>
      </c>
      <c r="E10" s="111" t="s">
        <v>25</v>
      </c>
      <c r="F10" s="111" t="s">
        <v>25</v>
      </c>
      <c r="G10" s="111" t="s">
        <v>38</v>
      </c>
      <c r="H10" s="111" t="s">
        <v>69</v>
      </c>
      <c r="I10" s="111" t="s">
        <v>25</v>
      </c>
      <c r="J10" s="111">
        <v>0</v>
      </c>
      <c r="K10" s="111">
        <v>0</v>
      </c>
      <c r="L10" s="111">
        <v>0</v>
      </c>
      <c r="M10" s="111">
        <v>0</v>
      </c>
      <c r="N10" s="111">
        <v>0</v>
      </c>
      <c r="O10" s="111">
        <v>0</v>
      </c>
      <c r="P10" s="111">
        <v>0</v>
      </c>
      <c r="Q10" s="111">
        <v>0</v>
      </c>
      <c r="R10" s="111">
        <v>0</v>
      </c>
      <c r="S10" s="111">
        <v>0</v>
      </c>
      <c r="T10" s="111">
        <v>0</v>
      </c>
      <c r="U10" s="111">
        <v>0</v>
      </c>
      <c r="V10" s="111">
        <v>0</v>
      </c>
      <c r="W10" s="111">
        <v>0</v>
      </c>
      <c r="X10" s="111">
        <v>0</v>
      </c>
      <c r="Y10" s="111">
        <v>0</v>
      </c>
      <c r="Z10" s="111">
        <v>0</v>
      </c>
      <c r="AA10" s="111">
        <v>0</v>
      </c>
      <c r="AB10" s="111">
        <v>0</v>
      </c>
      <c r="AC10" s="111">
        <v>0</v>
      </c>
      <c r="AD10" s="111">
        <v>0</v>
      </c>
      <c r="AE10" s="111">
        <v>0</v>
      </c>
      <c r="AF10" s="111">
        <v>0</v>
      </c>
      <c r="AG10" s="111">
        <v>0</v>
      </c>
      <c r="AH10" s="111">
        <v>0</v>
      </c>
      <c r="AI10" s="111">
        <v>0</v>
      </c>
      <c r="AJ10" s="111">
        <v>0</v>
      </c>
      <c r="AK10" s="111">
        <v>0</v>
      </c>
      <c r="AL10" s="111">
        <v>0</v>
      </c>
      <c r="AM10" s="111">
        <v>0</v>
      </c>
      <c r="AN10" s="111">
        <v>0</v>
      </c>
      <c r="AO10" s="111">
        <v>0</v>
      </c>
      <c r="AP10" s="111">
        <v>0</v>
      </c>
      <c r="AQ10" s="111">
        <v>0</v>
      </c>
      <c r="AR10" s="111">
        <v>0</v>
      </c>
      <c r="AS10" s="111">
        <v>0</v>
      </c>
      <c r="AT10" s="112">
        <v>0</v>
      </c>
    </row>
    <row r="11" spans="2:46" ht="12" customHeight="1" x14ac:dyDescent="0.3">
      <c r="B11" s="110" t="s">
        <v>35</v>
      </c>
      <c r="C11" s="111" t="s">
        <v>50</v>
      </c>
      <c r="D11" s="111" t="s">
        <v>25</v>
      </c>
      <c r="E11" s="111" t="s">
        <v>25</v>
      </c>
      <c r="F11" s="111" t="s">
        <v>25</v>
      </c>
      <c r="G11" s="111" t="s">
        <v>38</v>
      </c>
      <c r="H11" s="111" t="s">
        <v>72</v>
      </c>
      <c r="I11" s="111" t="s">
        <v>25</v>
      </c>
      <c r="J11" s="111">
        <v>0</v>
      </c>
      <c r="K11" s="111">
        <v>0</v>
      </c>
      <c r="L11" s="111">
        <v>0</v>
      </c>
      <c r="M11" s="111">
        <v>0</v>
      </c>
      <c r="N11" s="111">
        <v>0</v>
      </c>
      <c r="O11" s="111">
        <v>0</v>
      </c>
      <c r="P11" s="111">
        <v>0</v>
      </c>
      <c r="Q11" s="111">
        <v>0</v>
      </c>
      <c r="R11" s="111">
        <v>0</v>
      </c>
      <c r="S11" s="111">
        <v>0</v>
      </c>
      <c r="T11" s="111">
        <v>0</v>
      </c>
      <c r="U11" s="111">
        <v>0</v>
      </c>
      <c r="V11" s="111">
        <v>0</v>
      </c>
      <c r="W11" s="111">
        <v>0</v>
      </c>
      <c r="X11" s="111">
        <v>0</v>
      </c>
      <c r="Y11" s="111">
        <v>0</v>
      </c>
      <c r="Z11" s="111">
        <v>0</v>
      </c>
      <c r="AA11" s="111">
        <v>0</v>
      </c>
      <c r="AB11" s="111">
        <v>0</v>
      </c>
      <c r="AC11" s="111">
        <v>0</v>
      </c>
      <c r="AD11" s="111">
        <v>0</v>
      </c>
      <c r="AE11" s="111">
        <v>0</v>
      </c>
      <c r="AF11" s="111">
        <v>0</v>
      </c>
      <c r="AG11" s="111">
        <v>0</v>
      </c>
      <c r="AH11" s="111">
        <v>0</v>
      </c>
      <c r="AI11" s="111">
        <v>0</v>
      </c>
      <c r="AJ11" s="111">
        <v>0</v>
      </c>
      <c r="AK11" s="111">
        <v>0</v>
      </c>
      <c r="AL11" s="111">
        <v>0</v>
      </c>
      <c r="AM11" s="111">
        <v>0</v>
      </c>
      <c r="AN11" s="111">
        <v>0</v>
      </c>
      <c r="AO11" s="111">
        <v>0</v>
      </c>
      <c r="AP11" s="111">
        <v>0</v>
      </c>
      <c r="AQ11" s="111">
        <v>0</v>
      </c>
      <c r="AR11" s="111">
        <v>0</v>
      </c>
      <c r="AS11" s="111">
        <v>0</v>
      </c>
      <c r="AT11" s="112">
        <v>0</v>
      </c>
    </row>
    <row r="12" spans="2:46" ht="12" customHeight="1" x14ac:dyDescent="0.3">
      <c r="B12" s="110" t="s">
        <v>35</v>
      </c>
      <c r="C12" s="111" t="s">
        <v>77</v>
      </c>
      <c r="D12" s="111" t="s">
        <v>25</v>
      </c>
      <c r="E12" s="111" t="s">
        <v>25</v>
      </c>
      <c r="F12" s="111" t="s">
        <v>25</v>
      </c>
      <c r="G12" s="111" t="s">
        <v>25</v>
      </c>
      <c r="H12" s="111" t="s">
        <v>72</v>
      </c>
      <c r="I12" s="111" t="s">
        <v>25</v>
      </c>
      <c r="J12" s="111">
        <v>0</v>
      </c>
      <c r="K12" s="111">
        <v>0</v>
      </c>
      <c r="L12" s="111">
        <v>0</v>
      </c>
      <c r="M12" s="111">
        <v>0</v>
      </c>
      <c r="N12" s="111">
        <v>0</v>
      </c>
      <c r="O12" s="111">
        <v>0</v>
      </c>
      <c r="P12" s="111">
        <v>0</v>
      </c>
      <c r="Q12" s="111">
        <v>0</v>
      </c>
      <c r="R12" s="111">
        <v>0</v>
      </c>
      <c r="S12" s="111">
        <v>0</v>
      </c>
      <c r="T12" s="111">
        <v>0</v>
      </c>
      <c r="U12" s="111">
        <v>0</v>
      </c>
      <c r="V12" s="111">
        <v>0</v>
      </c>
      <c r="W12" s="111">
        <v>0</v>
      </c>
      <c r="X12" s="111">
        <v>0</v>
      </c>
      <c r="Y12" s="111">
        <v>0</v>
      </c>
      <c r="Z12" s="111">
        <v>0</v>
      </c>
      <c r="AA12" s="111">
        <v>0</v>
      </c>
      <c r="AB12" s="111">
        <v>0</v>
      </c>
      <c r="AC12" s="111">
        <v>0</v>
      </c>
      <c r="AD12" s="111">
        <v>0</v>
      </c>
      <c r="AE12" s="111">
        <v>0</v>
      </c>
      <c r="AF12" s="111">
        <v>0</v>
      </c>
      <c r="AG12" s="111">
        <v>0</v>
      </c>
      <c r="AH12" s="111">
        <v>0</v>
      </c>
      <c r="AI12" s="111">
        <v>0</v>
      </c>
      <c r="AJ12" s="111">
        <v>0</v>
      </c>
      <c r="AK12" s="111">
        <v>0</v>
      </c>
      <c r="AL12" s="111">
        <v>0</v>
      </c>
      <c r="AM12" s="111">
        <v>0</v>
      </c>
      <c r="AN12" s="111">
        <v>0</v>
      </c>
      <c r="AO12" s="111">
        <v>0</v>
      </c>
      <c r="AP12" s="111">
        <v>0</v>
      </c>
      <c r="AQ12" s="111">
        <v>0</v>
      </c>
      <c r="AR12" s="111">
        <v>0</v>
      </c>
      <c r="AS12" s="111">
        <v>0</v>
      </c>
      <c r="AT12" s="112">
        <v>0</v>
      </c>
    </row>
    <row r="13" spans="2:46" ht="12" customHeight="1" x14ac:dyDescent="0.3">
      <c r="B13" s="110" t="s">
        <v>35</v>
      </c>
      <c r="C13" s="111" t="s">
        <v>36</v>
      </c>
      <c r="D13" s="111" t="s">
        <v>25</v>
      </c>
      <c r="E13" s="111" t="s">
        <v>25</v>
      </c>
      <c r="F13" s="111" t="s">
        <v>76</v>
      </c>
      <c r="G13" s="111" t="s">
        <v>37</v>
      </c>
      <c r="H13" s="111" t="s">
        <v>69</v>
      </c>
      <c r="I13" s="111" t="s">
        <v>25</v>
      </c>
      <c r="J13" s="111">
        <v>0</v>
      </c>
      <c r="K13" s="111">
        <v>0</v>
      </c>
      <c r="L13" s="111">
        <v>0</v>
      </c>
      <c r="M13" s="111">
        <v>0</v>
      </c>
      <c r="N13" s="111">
        <v>0</v>
      </c>
      <c r="O13" s="111">
        <v>0</v>
      </c>
      <c r="P13" s="111">
        <v>0</v>
      </c>
      <c r="Q13" s="111">
        <v>0</v>
      </c>
      <c r="R13" s="111">
        <v>0</v>
      </c>
      <c r="S13" s="111">
        <v>0</v>
      </c>
      <c r="T13" s="111">
        <v>0</v>
      </c>
      <c r="U13" s="111">
        <v>0</v>
      </c>
      <c r="V13" s="111">
        <v>0</v>
      </c>
      <c r="W13" s="111">
        <v>0</v>
      </c>
      <c r="X13" s="111">
        <v>0</v>
      </c>
      <c r="Y13" s="111">
        <v>0</v>
      </c>
      <c r="Z13" s="111">
        <v>0</v>
      </c>
      <c r="AA13" s="111">
        <v>0</v>
      </c>
      <c r="AB13" s="111">
        <v>0</v>
      </c>
      <c r="AC13" s="111">
        <v>0</v>
      </c>
      <c r="AD13" s="111">
        <v>0</v>
      </c>
      <c r="AE13" s="111">
        <v>0</v>
      </c>
      <c r="AF13" s="111">
        <v>0</v>
      </c>
      <c r="AG13" s="111">
        <v>0</v>
      </c>
      <c r="AH13" s="111">
        <v>0</v>
      </c>
      <c r="AI13" s="111">
        <v>0</v>
      </c>
      <c r="AJ13" s="111">
        <v>0</v>
      </c>
      <c r="AK13" s="111">
        <v>0</v>
      </c>
      <c r="AL13" s="111">
        <v>0</v>
      </c>
      <c r="AM13" s="111">
        <v>0</v>
      </c>
      <c r="AN13" s="111">
        <v>0</v>
      </c>
      <c r="AO13" s="111">
        <v>0</v>
      </c>
      <c r="AP13" s="111">
        <v>0</v>
      </c>
      <c r="AQ13" s="111">
        <v>0</v>
      </c>
      <c r="AR13" s="111">
        <v>0</v>
      </c>
      <c r="AS13" s="111">
        <v>0</v>
      </c>
      <c r="AT13" s="112">
        <v>0</v>
      </c>
    </row>
    <row r="14" spans="2:46" ht="12" customHeight="1" x14ac:dyDescent="0.3">
      <c r="B14" s="110" t="s">
        <v>35</v>
      </c>
      <c r="C14" s="111" t="s">
        <v>36</v>
      </c>
      <c r="D14" s="111" t="s">
        <v>25</v>
      </c>
      <c r="E14" s="111" t="s">
        <v>25</v>
      </c>
      <c r="F14" s="111" t="s">
        <v>76</v>
      </c>
      <c r="G14" s="111" t="s">
        <v>25</v>
      </c>
      <c r="H14" s="111" t="s">
        <v>72</v>
      </c>
      <c r="I14" s="111" t="s">
        <v>25</v>
      </c>
      <c r="J14" s="111">
        <v>0</v>
      </c>
      <c r="K14" s="111">
        <v>0</v>
      </c>
      <c r="L14" s="111">
        <v>0</v>
      </c>
      <c r="M14" s="111">
        <v>0</v>
      </c>
      <c r="N14" s="111">
        <v>0</v>
      </c>
      <c r="O14" s="111">
        <v>0</v>
      </c>
      <c r="P14" s="111">
        <v>0</v>
      </c>
      <c r="Q14" s="111">
        <v>0</v>
      </c>
      <c r="R14" s="111">
        <v>0</v>
      </c>
      <c r="S14" s="111">
        <v>0</v>
      </c>
      <c r="T14" s="111">
        <v>0</v>
      </c>
      <c r="U14" s="111">
        <v>0</v>
      </c>
      <c r="V14" s="111">
        <v>0</v>
      </c>
      <c r="W14" s="111">
        <v>0</v>
      </c>
      <c r="X14" s="111">
        <v>0</v>
      </c>
      <c r="Y14" s="111">
        <v>0</v>
      </c>
      <c r="Z14" s="111">
        <v>0</v>
      </c>
      <c r="AA14" s="111">
        <v>0</v>
      </c>
      <c r="AB14" s="111">
        <v>0</v>
      </c>
      <c r="AC14" s="111">
        <v>0</v>
      </c>
      <c r="AD14" s="111">
        <v>0</v>
      </c>
      <c r="AE14" s="111">
        <v>0</v>
      </c>
      <c r="AF14" s="111">
        <v>0</v>
      </c>
      <c r="AG14" s="111">
        <v>0</v>
      </c>
      <c r="AH14" s="111">
        <v>0</v>
      </c>
      <c r="AI14" s="111">
        <v>0</v>
      </c>
      <c r="AJ14" s="111">
        <v>0</v>
      </c>
      <c r="AK14" s="111">
        <v>0</v>
      </c>
      <c r="AL14" s="111">
        <v>0</v>
      </c>
      <c r="AM14" s="111">
        <v>0</v>
      </c>
      <c r="AN14" s="111">
        <v>0</v>
      </c>
      <c r="AO14" s="111">
        <v>0</v>
      </c>
      <c r="AP14" s="111">
        <v>0</v>
      </c>
      <c r="AQ14" s="111">
        <v>0</v>
      </c>
      <c r="AR14" s="111">
        <v>0</v>
      </c>
      <c r="AS14" s="111">
        <v>0</v>
      </c>
      <c r="AT14" s="112">
        <v>0</v>
      </c>
    </row>
    <row r="15" spans="2:46" ht="12" customHeight="1" x14ac:dyDescent="0.3">
      <c r="B15" s="110" t="s">
        <v>35</v>
      </c>
      <c r="C15" s="111" t="s">
        <v>36</v>
      </c>
      <c r="D15" s="111" t="s">
        <v>25</v>
      </c>
      <c r="E15" s="111" t="s">
        <v>25</v>
      </c>
      <c r="F15" s="111" t="s">
        <v>76</v>
      </c>
      <c r="G15" s="111" t="s">
        <v>38</v>
      </c>
      <c r="H15" s="111" t="s">
        <v>69</v>
      </c>
      <c r="I15" s="111" t="s">
        <v>25</v>
      </c>
      <c r="J15" s="111">
        <v>0</v>
      </c>
      <c r="K15" s="111">
        <v>0</v>
      </c>
      <c r="L15" s="111">
        <v>0</v>
      </c>
      <c r="M15" s="111">
        <v>0</v>
      </c>
      <c r="N15" s="111">
        <v>0</v>
      </c>
      <c r="O15" s="111">
        <v>0</v>
      </c>
      <c r="P15" s="111">
        <v>0</v>
      </c>
      <c r="Q15" s="111">
        <v>0</v>
      </c>
      <c r="R15" s="111">
        <v>0</v>
      </c>
      <c r="S15" s="111">
        <v>0</v>
      </c>
      <c r="T15" s="111">
        <v>0</v>
      </c>
      <c r="U15" s="111">
        <v>0</v>
      </c>
      <c r="V15" s="111">
        <v>0</v>
      </c>
      <c r="W15" s="111">
        <v>0</v>
      </c>
      <c r="X15" s="111">
        <v>0</v>
      </c>
      <c r="Y15" s="111">
        <v>0</v>
      </c>
      <c r="Z15" s="111">
        <v>0</v>
      </c>
      <c r="AA15" s="111">
        <v>0</v>
      </c>
      <c r="AB15" s="111">
        <v>0</v>
      </c>
      <c r="AC15" s="111">
        <v>0</v>
      </c>
      <c r="AD15" s="111">
        <v>0</v>
      </c>
      <c r="AE15" s="111">
        <v>0</v>
      </c>
      <c r="AF15" s="111">
        <v>0</v>
      </c>
      <c r="AG15" s="111">
        <v>0</v>
      </c>
      <c r="AH15" s="111">
        <v>0</v>
      </c>
      <c r="AI15" s="111">
        <v>0</v>
      </c>
      <c r="AJ15" s="111">
        <v>0</v>
      </c>
      <c r="AK15" s="111">
        <v>0</v>
      </c>
      <c r="AL15" s="111">
        <v>0</v>
      </c>
      <c r="AM15" s="111">
        <v>0</v>
      </c>
      <c r="AN15" s="111">
        <v>0</v>
      </c>
      <c r="AO15" s="111">
        <v>0</v>
      </c>
      <c r="AP15" s="111">
        <v>0</v>
      </c>
      <c r="AQ15" s="111">
        <v>0</v>
      </c>
      <c r="AR15" s="111">
        <v>0</v>
      </c>
      <c r="AS15" s="111">
        <v>0</v>
      </c>
      <c r="AT15" s="112">
        <v>0</v>
      </c>
    </row>
    <row r="16" spans="2:46" ht="12" customHeight="1" x14ac:dyDescent="0.3">
      <c r="B16" s="110" t="s">
        <v>35</v>
      </c>
      <c r="C16" s="111" t="s">
        <v>36</v>
      </c>
      <c r="D16" s="111" t="s">
        <v>25</v>
      </c>
      <c r="E16" s="111" t="s">
        <v>25</v>
      </c>
      <c r="F16" s="111" t="s">
        <v>25</v>
      </c>
      <c r="G16" s="111" t="s">
        <v>37</v>
      </c>
      <c r="H16" s="111" t="s">
        <v>69</v>
      </c>
      <c r="I16" s="111" t="s">
        <v>25</v>
      </c>
      <c r="J16" s="111">
        <v>0</v>
      </c>
      <c r="K16" s="111">
        <v>0</v>
      </c>
      <c r="L16" s="111">
        <v>0</v>
      </c>
      <c r="M16" s="111">
        <v>0</v>
      </c>
      <c r="N16" s="111">
        <v>0</v>
      </c>
      <c r="O16" s="111">
        <v>0</v>
      </c>
      <c r="P16" s="111">
        <v>0</v>
      </c>
      <c r="Q16" s="111">
        <v>0</v>
      </c>
      <c r="R16" s="111">
        <v>0</v>
      </c>
      <c r="S16" s="111">
        <v>0</v>
      </c>
      <c r="T16" s="111">
        <v>0</v>
      </c>
      <c r="U16" s="111">
        <v>0</v>
      </c>
      <c r="V16" s="111">
        <v>0</v>
      </c>
      <c r="W16" s="111">
        <v>0</v>
      </c>
      <c r="X16" s="111">
        <v>0</v>
      </c>
      <c r="Y16" s="111">
        <v>0</v>
      </c>
      <c r="Z16" s="111">
        <v>0</v>
      </c>
      <c r="AA16" s="111">
        <v>0</v>
      </c>
      <c r="AB16" s="111">
        <v>0</v>
      </c>
      <c r="AC16" s="111">
        <v>0</v>
      </c>
      <c r="AD16" s="111">
        <v>0</v>
      </c>
      <c r="AE16" s="111">
        <v>0</v>
      </c>
      <c r="AF16" s="111">
        <v>0</v>
      </c>
      <c r="AG16" s="111">
        <v>0</v>
      </c>
      <c r="AH16" s="111">
        <v>0</v>
      </c>
      <c r="AI16" s="111">
        <v>0</v>
      </c>
      <c r="AJ16" s="111">
        <v>0</v>
      </c>
      <c r="AK16" s="111">
        <v>0</v>
      </c>
      <c r="AL16" s="111">
        <v>0</v>
      </c>
      <c r="AM16" s="111">
        <v>0</v>
      </c>
      <c r="AN16" s="111">
        <v>0</v>
      </c>
      <c r="AO16" s="111">
        <v>0</v>
      </c>
      <c r="AP16" s="111">
        <v>0</v>
      </c>
      <c r="AQ16" s="111">
        <v>0</v>
      </c>
      <c r="AR16" s="111">
        <v>0</v>
      </c>
      <c r="AS16" s="111">
        <v>0</v>
      </c>
      <c r="AT16" s="112">
        <v>0</v>
      </c>
    </row>
    <row r="17" spans="2:46" ht="12" customHeight="1" x14ac:dyDescent="0.3">
      <c r="B17" s="110" t="s">
        <v>35</v>
      </c>
      <c r="C17" s="111" t="s">
        <v>36</v>
      </c>
      <c r="D17" s="111" t="s">
        <v>25</v>
      </c>
      <c r="E17" s="111" t="s">
        <v>25</v>
      </c>
      <c r="F17" s="111" t="s">
        <v>25</v>
      </c>
      <c r="G17" s="111" t="s">
        <v>25</v>
      </c>
      <c r="H17" s="111" t="s">
        <v>72</v>
      </c>
      <c r="I17" s="111" t="s">
        <v>25</v>
      </c>
      <c r="J17" s="111">
        <v>0</v>
      </c>
      <c r="K17" s="111">
        <v>0</v>
      </c>
      <c r="L17" s="111">
        <v>0</v>
      </c>
      <c r="M17" s="111">
        <v>0</v>
      </c>
      <c r="N17" s="111">
        <v>0</v>
      </c>
      <c r="O17" s="111">
        <v>0</v>
      </c>
      <c r="P17" s="111">
        <v>0</v>
      </c>
      <c r="Q17" s="111">
        <v>0</v>
      </c>
      <c r="R17" s="111">
        <v>0</v>
      </c>
      <c r="S17" s="111">
        <v>0</v>
      </c>
      <c r="T17" s="111">
        <v>0</v>
      </c>
      <c r="U17" s="111">
        <v>0</v>
      </c>
      <c r="V17" s="111">
        <v>0</v>
      </c>
      <c r="W17" s="111">
        <v>0</v>
      </c>
      <c r="X17" s="111">
        <v>0</v>
      </c>
      <c r="Y17" s="111">
        <v>0</v>
      </c>
      <c r="Z17" s="111">
        <v>0</v>
      </c>
      <c r="AA17" s="111">
        <v>0</v>
      </c>
      <c r="AB17" s="111">
        <v>0</v>
      </c>
      <c r="AC17" s="111">
        <v>0</v>
      </c>
      <c r="AD17" s="111">
        <v>0</v>
      </c>
      <c r="AE17" s="111">
        <v>0</v>
      </c>
      <c r="AF17" s="111">
        <v>0</v>
      </c>
      <c r="AG17" s="111">
        <v>0</v>
      </c>
      <c r="AH17" s="111">
        <v>0</v>
      </c>
      <c r="AI17" s="111">
        <v>0</v>
      </c>
      <c r="AJ17" s="111">
        <v>0</v>
      </c>
      <c r="AK17" s="111">
        <v>0</v>
      </c>
      <c r="AL17" s="111">
        <v>0</v>
      </c>
      <c r="AM17" s="111">
        <v>0</v>
      </c>
      <c r="AN17" s="111">
        <v>0</v>
      </c>
      <c r="AO17" s="111">
        <v>0</v>
      </c>
      <c r="AP17" s="111">
        <v>0</v>
      </c>
      <c r="AQ17" s="111">
        <v>0</v>
      </c>
      <c r="AR17" s="111">
        <v>0</v>
      </c>
      <c r="AS17" s="111">
        <v>0</v>
      </c>
      <c r="AT17" s="112">
        <v>0</v>
      </c>
    </row>
    <row r="18" spans="2:46" ht="12" customHeight="1" x14ac:dyDescent="0.3">
      <c r="B18" s="110" t="s">
        <v>35</v>
      </c>
      <c r="C18" s="111" t="s">
        <v>36</v>
      </c>
      <c r="D18" s="111" t="s">
        <v>25</v>
      </c>
      <c r="E18" s="111" t="s">
        <v>25</v>
      </c>
      <c r="F18" s="111" t="s">
        <v>25</v>
      </c>
      <c r="G18" s="111" t="s">
        <v>38</v>
      </c>
      <c r="H18" s="111" t="s">
        <v>69</v>
      </c>
      <c r="I18" s="111" t="s">
        <v>25</v>
      </c>
      <c r="J18" s="111">
        <v>0</v>
      </c>
      <c r="K18" s="111">
        <v>0</v>
      </c>
      <c r="L18" s="111">
        <v>0</v>
      </c>
      <c r="M18" s="111">
        <v>0</v>
      </c>
      <c r="N18" s="111">
        <v>0</v>
      </c>
      <c r="O18" s="111">
        <v>0</v>
      </c>
      <c r="P18" s="111">
        <v>0</v>
      </c>
      <c r="Q18" s="111">
        <v>0</v>
      </c>
      <c r="R18" s="111">
        <v>0</v>
      </c>
      <c r="S18" s="111">
        <v>0</v>
      </c>
      <c r="T18" s="111">
        <v>0</v>
      </c>
      <c r="U18" s="111">
        <v>0</v>
      </c>
      <c r="V18" s="111">
        <v>0</v>
      </c>
      <c r="W18" s="111">
        <v>0</v>
      </c>
      <c r="X18" s="111">
        <v>0</v>
      </c>
      <c r="Y18" s="111">
        <v>0</v>
      </c>
      <c r="Z18" s="111">
        <v>0</v>
      </c>
      <c r="AA18" s="111">
        <v>0</v>
      </c>
      <c r="AB18" s="111">
        <v>0</v>
      </c>
      <c r="AC18" s="111">
        <v>0</v>
      </c>
      <c r="AD18" s="111">
        <v>0</v>
      </c>
      <c r="AE18" s="111">
        <v>0</v>
      </c>
      <c r="AF18" s="111">
        <v>0</v>
      </c>
      <c r="AG18" s="111">
        <v>0</v>
      </c>
      <c r="AH18" s="111">
        <v>0</v>
      </c>
      <c r="AI18" s="111">
        <v>0</v>
      </c>
      <c r="AJ18" s="111">
        <v>0</v>
      </c>
      <c r="AK18" s="111">
        <v>0</v>
      </c>
      <c r="AL18" s="111">
        <v>0</v>
      </c>
      <c r="AM18" s="111">
        <v>0</v>
      </c>
      <c r="AN18" s="111">
        <v>0</v>
      </c>
      <c r="AO18" s="111">
        <v>0</v>
      </c>
      <c r="AP18" s="111">
        <v>0</v>
      </c>
      <c r="AQ18" s="111">
        <v>0</v>
      </c>
      <c r="AR18" s="111">
        <v>0</v>
      </c>
      <c r="AS18" s="111">
        <v>0</v>
      </c>
      <c r="AT18" s="112">
        <v>0</v>
      </c>
    </row>
    <row r="19" spans="2:46" ht="12" customHeight="1" x14ac:dyDescent="0.3">
      <c r="B19" s="110" t="s">
        <v>78</v>
      </c>
      <c r="C19" s="111" t="s">
        <v>77</v>
      </c>
      <c r="D19" s="111" t="s">
        <v>25</v>
      </c>
      <c r="E19" s="111" t="s">
        <v>25</v>
      </c>
      <c r="F19" s="111" t="s">
        <v>79</v>
      </c>
      <c r="G19" s="111" t="s">
        <v>25</v>
      </c>
      <c r="H19" s="111" t="s">
        <v>72</v>
      </c>
      <c r="I19" s="111" t="s">
        <v>25</v>
      </c>
      <c r="J19" s="111">
        <v>0</v>
      </c>
      <c r="K19" s="111">
        <v>0</v>
      </c>
      <c r="L19" s="111">
        <v>0</v>
      </c>
      <c r="M19" s="111">
        <v>0</v>
      </c>
      <c r="N19" s="111">
        <v>0</v>
      </c>
      <c r="O19" s="111">
        <v>0</v>
      </c>
      <c r="P19" s="111">
        <v>0</v>
      </c>
      <c r="Q19" s="111">
        <v>0</v>
      </c>
      <c r="R19" s="111">
        <v>0</v>
      </c>
      <c r="S19" s="111">
        <v>0</v>
      </c>
      <c r="T19" s="111">
        <v>0</v>
      </c>
      <c r="U19" s="111">
        <v>0</v>
      </c>
      <c r="V19" s="111">
        <v>0</v>
      </c>
      <c r="W19" s="111">
        <v>0</v>
      </c>
      <c r="X19" s="111">
        <v>0</v>
      </c>
      <c r="Y19" s="111">
        <v>0</v>
      </c>
      <c r="Z19" s="111">
        <v>0</v>
      </c>
      <c r="AA19" s="111">
        <v>0</v>
      </c>
      <c r="AB19" s="111">
        <v>0</v>
      </c>
      <c r="AC19" s="111">
        <v>0</v>
      </c>
      <c r="AD19" s="111">
        <v>0</v>
      </c>
      <c r="AE19" s="111">
        <v>0</v>
      </c>
      <c r="AF19" s="111">
        <v>0</v>
      </c>
      <c r="AG19" s="111">
        <v>0</v>
      </c>
      <c r="AH19" s="111">
        <v>0</v>
      </c>
      <c r="AI19" s="111">
        <v>0</v>
      </c>
      <c r="AJ19" s="111">
        <v>0</v>
      </c>
      <c r="AK19" s="111">
        <v>0</v>
      </c>
      <c r="AL19" s="111">
        <v>0</v>
      </c>
      <c r="AM19" s="111">
        <v>0</v>
      </c>
      <c r="AN19" s="111">
        <v>0</v>
      </c>
      <c r="AO19" s="111">
        <v>0</v>
      </c>
      <c r="AP19" s="111">
        <v>0</v>
      </c>
      <c r="AQ19" s="111">
        <v>0</v>
      </c>
      <c r="AR19" s="111">
        <v>0</v>
      </c>
      <c r="AS19" s="111">
        <v>0</v>
      </c>
      <c r="AT19" s="112">
        <v>0</v>
      </c>
    </row>
    <row r="20" spans="2:46" ht="12" customHeight="1" x14ac:dyDescent="0.3">
      <c r="B20" s="110" t="s">
        <v>78</v>
      </c>
      <c r="C20" s="111" t="s">
        <v>77</v>
      </c>
      <c r="D20" s="111" t="s">
        <v>25</v>
      </c>
      <c r="E20" s="111" t="s">
        <v>25</v>
      </c>
      <c r="F20" s="111" t="s">
        <v>80</v>
      </c>
      <c r="G20" s="111" t="s">
        <v>25</v>
      </c>
      <c r="H20" s="111" t="s">
        <v>72</v>
      </c>
      <c r="I20" s="111" t="s">
        <v>25</v>
      </c>
      <c r="J20" s="111">
        <v>0</v>
      </c>
      <c r="K20" s="111">
        <v>0</v>
      </c>
      <c r="L20" s="111">
        <v>0</v>
      </c>
      <c r="M20" s="111">
        <v>0</v>
      </c>
      <c r="N20" s="111">
        <v>0</v>
      </c>
      <c r="O20" s="111">
        <v>0</v>
      </c>
      <c r="P20" s="111">
        <v>0</v>
      </c>
      <c r="Q20" s="111">
        <v>0</v>
      </c>
      <c r="R20" s="111">
        <v>0</v>
      </c>
      <c r="S20" s="111">
        <v>0</v>
      </c>
      <c r="T20" s="111">
        <v>0</v>
      </c>
      <c r="U20" s="111">
        <v>0</v>
      </c>
      <c r="V20" s="111">
        <v>0</v>
      </c>
      <c r="W20" s="111">
        <v>0</v>
      </c>
      <c r="X20" s="111">
        <v>0</v>
      </c>
      <c r="Y20" s="111">
        <v>0</v>
      </c>
      <c r="Z20" s="111">
        <v>0</v>
      </c>
      <c r="AA20" s="111">
        <v>0</v>
      </c>
      <c r="AB20" s="111">
        <v>0</v>
      </c>
      <c r="AC20" s="111">
        <v>0</v>
      </c>
      <c r="AD20" s="111">
        <v>0</v>
      </c>
      <c r="AE20" s="111">
        <v>0</v>
      </c>
      <c r="AF20" s="111">
        <v>0</v>
      </c>
      <c r="AG20" s="111">
        <v>0</v>
      </c>
      <c r="AH20" s="111">
        <v>0</v>
      </c>
      <c r="AI20" s="111">
        <v>0</v>
      </c>
      <c r="AJ20" s="111">
        <v>0</v>
      </c>
      <c r="AK20" s="111">
        <v>0</v>
      </c>
      <c r="AL20" s="111">
        <v>0</v>
      </c>
      <c r="AM20" s="111">
        <v>0</v>
      </c>
      <c r="AN20" s="111">
        <v>0</v>
      </c>
      <c r="AO20" s="111">
        <v>0</v>
      </c>
      <c r="AP20" s="111">
        <v>0</v>
      </c>
      <c r="AQ20" s="111">
        <v>0</v>
      </c>
      <c r="AR20" s="111">
        <v>0</v>
      </c>
      <c r="AS20" s="111">
        <v>0</v>
      </c>
      <c r="AT20" s="112">
        <v>0</v>
      </c>
    </row>
    <row r="21" spans="2:46" ht="12" customHeight="1" x14ac:dyDescent="0.3">
      <c r="B21" s="110" t="s">
        <v>22</v>
      </c>
      <c r="C21" s="111" t="s">
        <v>39</v>
      </c>
      <c r="D21" s="111" t="s">
        <v>24</v>
      </c>
      <c r="E21" s="111" t="s">
        <v>24</v>
      </c>
      <c r="F21" s="111" t="s">
        <v>25</v>
      </c>
      <c r="G21" s="111" t="s">
        <v>37</v>
      </c>
      <c r="H21" s="111" t="s">
        <v>69</v>
      </c>
      <c r="I21" s="111" t="s">
        <v>25</v>
      </c>
      <c r="J21" s="111">
        <v>0</v>
      </c>
      <c r="K21" s="111">
        <v>0</v>
      </c>
      <c r="L21" s="111">
        <v>0</v>
      </c>
      <c r="M21" s="111">
        <v>0</v>
      </c>
      <c r="N21" s="111">
        <v>0</v>
      </c>
      <c r="O21" s="111">
        <v>0</v>
      </c>
      <c r="P21" s="111">
        <v>0</v>
      </c>
      <c r="Q21" s="111">
        <v>0</v>
      </c>
      <c r="R21" s="111">
        <v>0</v>
      </c>
      <c r="S21" s="111">
        <v>0</v>
      </c>
      <c r="T21" s="111">
        <v>0</v>
      </c>
      <c r="U21" s="111">
        <v>0</v>
      </c>
      <c r="V21" s="111">
        <v>0</v>
      </c>
      <c r="W21" s="111">
        <v>0</v>
      </c>
      <c r="X21" s="111">
        <v>0</v>
      </c>
      <c r="Y21" s="111">
        <v>0</v>
      </c>
      <c r="Z21" s="111">
        <v>0</v>
      </c>
      <c r="AA21" s="111">
        <v>0</v>
      </c>
      <c r="AB21" s="111">
        <v>0</v>
      </c>
      <c r="AC21" s="111">
        <v>0</v>
      </c>
      <c r="AD21" s="111">
        <v>0</v>
      </c>
      <c r="AE21" s="111">
        <v>0</v>
      </c>
      <c r="AF21" s="111">
        <v>0</v>
      </c>
      <c r="AG21" s="111">
        <v>0</v>
      </c>
      <c r="AH21" s="111">
        <v>0</v>
      </c>
      <c r="AI21" s="111">
        <v>0</v>
      </c>
      <c r="AJ21" s="111">
        <v>0</v>
      </c>
      <c r="AK21" s="111">
        <v>0</v>
      </c>
      <c r="AL21" s="111">
        <v>0</v>
      </c>
      <c r="AM21" s="111">
        <v>0</v>
      </c>
      <c r="AN21" s="111">
        <v>0</v>
      </c>
      <c r="AO21" s="111">
        <v>0</v>
      </c>
      <c r="AP21" s="111">
        <v>0</v>
      </c>
      <c r="AQ21" s="111">
        <v>0</v>
      </c>
      <c r="AR21" s="111">
        <v>0</v>
      </c>
      <c r="AS21" s="111">
        <v>0</v>
      </c>
      <c r="AT21" s="112">
        <v>0</v>
      </c>
    </row>
    <row r="22" spans="2:46" ht="12" customHeight="1" x14ac:dyDescent="0.3">
      <c r="B22" s="110" t="s">
        <v>22</v>
      </c>
      <c r="C22" s="111" t="s">
        <v>39</v>
      </c>
      <c r="D22" s="111" t="s">
        <v>24</v>
      </c>
      <c r="E22" s="111" t="s">
        <v>24</v>
      </c>
      <c r="F22" s="111" t="s">
        <v>25</v>
      </c>
      <c r="G22" s="111" t="s">
        <v>40</v>
      </c>
      <c r="H22" s="111" t="s">
        <v>69</v>
      </c>
      <c r="I22" s="111" t="s">
        <v>25</v>
      </c>
      <c r="J22" s="111">
        <v>0</v>
      </c>
      <c r="K22" s="111">
        <v>0</v>
      </c>
      <c r="L22" s="111">
        <v>0</v>
      </c>
      <c r="M22" s="111">
        <v>0</v>
      </c>
      <c r="N22" s="111">
        <v>0</v>
      </c>
      <c r="O22" s="111">
        <v>0</v>
      </c>
      <c r="P22" s="111">
        <v>0</v>
      </c>
      <c r="Q22" s="111">
        <v>0</v>
      </c>
      <c r="R22" s="111">
        <v>0</v>
      </c>
      <c r="S22" s="111">
        <v>0</v>
      </c>
      <c r="T22" s="111">
        <v>0</v>
      </c>
      <c r="U22" s="111">
        <v>0</v>
      </c>
      <c r="V22" s="111">
        <v>0</v>
      </c>
      <c r="W22" s="111">
        <v>0</v>
      </c>
      <c r="X22" s="111">
        <v>0</v>
      </c>
      <c r="Y22" s="111">
        <v>0</v>
      </c>
      <c r="Z22" s="111">
        <v>0</v>
      </c>
      <c r="AA22" s="111">
        <v>0</v>
      </c>
      <c r="AB22" s="111">
        <v>0</v>
      </c>
      <c r="AC22" s="111">
        <v>0</v>
      </c>
      <c r="AD22" s="111">
        <v>0</v>
      </c>
      <c r="AE22" s="111">
        <v>0</v>
      </c>
      <c r="AF22" s="111">
        <v>0</v>
      </c>
      <c r="AG22" s="111">
        <v>0</v>
      </c>
      <c r="AH22" s="111">
        <v>0</v>
      </c>
      <c r="AI22" s="111">
        <v>0</v>
      </c>
      <c r="AJ22" s="111">
        <v>0</v>
      </c>
      <c r="AK22" s="111">
        <v>0</v>
      </c>
      <c r="AL22" s="111">
        <v>0</v>
      </c>
      <c r="AM22" s="111">
        <v>0</v>
      </c>
      <c r="AN22" s="111">
        <v>0</v>
      </c>
      <c r="AO22" s="111">
        <v>0</v>
      </c>
      <c r="AP22" s="111">
        <v>0</v>
      </c>
      <c r="AQ22" s="111">
        <v>0</v>
      </c>
      <c r="AR22" s="111">
        <v>0</v>
      </c>
      <c r="AS22" s="111">
        <v>0</v>
      </c>
      <c r="AT22" s="112">
        <v>0</v>
      </c>
    </row>
    <row r="23" spans="2:46" ht="12" customHeight="1" x14ac:dyDescent="0.3">
      <c r="B23" s="110" t="s">
        <v>22</v>
      </c>
      <c r="C23" s="111" t="s">
        <v>39</v>
      </c>
      <c r="D23" s="111" t="s">
        <v>24</v>
      </c>
      <c r="E23" s="111" t="s">
        <v>24</v>
      </c>
      <c r="F23" s="111" t="s">
        <v>25</v>
      </c>
      <c r="G23" s="111" t="s">
        <v>38</v>
      </c>
      <c r="H23" s="111" t="s">
        <v>69</v>
      </c>
      <c r="I23" s="111" t="s">
        <v>25</v>
      </c>
      <c r="J23" s="111">
        <v>0</v>
      </c>
      <c r="K23" s="111">
        <v>0</v>
      </c>
      <c r="L23" s="111">
        <v>0</v>
      </c>
      <c r="M23" s="111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1">
        <v>0</v>
      </c>
      <c r="W23" s="111">
        <v>0</v>
      </c>
      <c r="X23" s="111">
        <v>0</v>
      </c>
      <c r="Y23" s="111">
        <v>0</v>
      </c>
      <c r="Z23" s="111">
        <v>0</v>
      </c>
      <c r="AA23" s="111">
        <v>0</v>
      </c>
      <c r="AB23" s="111">
        <v>0</v>
      </c>
      <c r="AC23" s="111">
        <v>0</v>
      </c>
      <c r="AD23" s="111">
        <v>0</v>
      </c>
      <c r="AE23" s="111">
        <v>0</v>
      </c>
      <c r="AF23" s="111">
        <v>0</v>
      </c>
      <c r="AG23" s="111">
        <v>0</v>
      </c>
      <c r="AH23" s="111">
        <v>0</v>
      </c>
      <c r="AI23" s="111">
        <v>0</v>
      </c>
      <c r="AJ23" s="111">
        <v>0</v>
      </c>
      <c r="AK23" s="111">
        <v>0</v>
      </c>
      <c r="AL23" s="111">
        <v>0</v>
      </c>
      <c r="AM23" s="111">
        <v>0</v>
      </c>
      <c r="AN23" s="111">
        <v>0</v>
      </c>
      <c r="AO23" s="111">
        <v>0</v>
      </c>
      <c r="AP23" s="111">
        <v>0</v>
      </c>
      <c r="AQ23" s="111">
        <v>0</v>
      </c>
      <c r="AR23" s="111">
        <v>0</v>
      </c>
      <c r="AS23" s="111">
        <v>0</v>
      </c>
      <c r="AT23" s="112">
        <v>0</v>
      </c>
    </row>
    <row r="24" spans="2:46" ht="12" customHeight="1" x14ac:dyDescent="0.3">
      <c r="B24" s="110" t="s">
        <v>22</v>
      </c>
      <c r="C24" s="111" t="s">
        <v>23</v>
      </c>
      <c r="D24" s="111" t="s">
        <v>24</v>
      </c>
      <c r="E24" s="111" t="s">
        <v>748</v>
      </c>
      <c r="F24" s="111" t="s">
        <v>25</v>
      </c>
      <c r="G24" s="111" t="s">
        <v>25</v>
      </c>
      <c r="H24" s="111" t="s">
        <v>69</v>
      </c>
      <c r="I24" s="111" t="s">
        <v>25</v>
      </c>
      <c r="J24" s="111">
        <v>0</v>
      </c>
      <c r="K24" s="111">
        <v>0</v>
      </c>
      <c r="L24" s="111">
        <v>0</v>
      </c>
      <c r="M24" s="111">
        <v>0</v>
      </c>
      <c r="N24" s="111">
        <v>0</v>
      </c>
      <c r="O24" s="111">
        <v>0</v>
      </c>
      <c r="P24" s="111">
        <v>0</v>
      </c>
      <c r="Q24" s="111">
        <v>0</v>
      </c>
      <c r="R24" s="111">
        <v>0</v>
      </c>
      <c r="S24" s="111">
        <v>0</v>
      </c>
      <c r="T24" s="111">
        <v>0</v>
      </c>
      <c r="U24" s="111">
        <v>0</v>
      </c>
      <c r="V24" s="111">
        <v>0</v>
      </c>
      <c r="W24" s="111">
        <v>0</v>
      </c>
      <c r="X24" s="111">
        <v>0</v>
      </c>
      <c r="Y24" s="111">
        <v>0</v>
      </c>
      <c r="Z24" s="111">
        <v>0</v>
      </c>
      <c r="AA24" s="111">
        <v>0</v>
      </c>
      <c r="AB24" s="111">
        <v>0</v>
      </c>
      <c r="AC24" s="111">
        <v>0</v>
      </c>
      <c r="AD24" s="111">
        <v>0</v>
      </c>
      <c r="AE24" s="111">
        <v>0</v>
      </c>
      <c r="AF24" s="111">
        <v>0</v>
      </c>
      <c r="AG24" s="111">
        <v>0</v>
      </c>
      <c r="AH24" s="111">
        <v>0</v>
      </c>
      <c r="AI24" s="111">
        <v>0</v>
      </c>
      <c r="AJ24" s="111">
        <v>0</v>
      </c>
      <c r="AK24" s="111">
        <v>0</v>
      </c>
      <c r="AL24" s="111">
        <v>0</v>
      </c>
      <c r="AM24" s="111">
        <v>0</v>
      </c>
      <c r="AN24" s="111">
        <v>0</v>
      </c>
      <c r="AO24" s="111">
        <v>0</v>
      </c>
      <c r="AP24" s="111">
        <v>0</v>
      </c>
      <c r="AQ24" s="111">
        <v>0</v>
      </c>
      <c r="AR24" s="111">
        <v>0</v>
      </c>
      <c r="AS24" s="111">
        <v>0</v>
      </c>
      <c r="AT24" s="112">
        <v>0</v>
      </c>
    </row>
    <row r="25" spans="2:46" ht="12" customHeight="1" x14ac:dyDescent="0.3">
      <c r="B25" s="110" t="s">
        <v>22</v>
      </c>
      <c r="C25" s="111" t="s">
        <v>23</v>
      </c>
      <c r="D25" s="111" t="s">
        <v>24</v>
      </c>
      <c r="E25" s="111" t="s">
        <v>24</v>
      </c>
      <c r="F25" s="111" t="s">
        <v>25</v>
      </c>
      <c r="G25" s="111" t="s">
        <v>25</v>
      </c>
      <c r="H25" s="111" t="s">
        <v>69</v>
      </c>
      <c r="I25" s="111" t="s">
        <v>25</v>
      </c>
      <c r="J25" s="111">
        <v>0</v>
      </c>
      <c r="K25" s="111">
        <v>0</v>
      </c>
      <c r="L25" s="111">
        <v>0</v>
      </c>
      <c r="M25" s="111">
        <v>0</v>
      </c>
      <c r="N25" s="111">
        <v>0</v>
      </c>
      <c r="O25" s="111">
        <v>0</v>
      </c>
      <c r="P25" s="111">
        <v>0</v>
      </c>
      <c r="Q25" s="111">
        <v>0</v>
      </c>
      <c r="R25" s="111">
        <v>0</v>
      </c>
      <c r="S25" s="111">
        <v>0</v>
      </c>
      <c r="T25" s="111">
        <v>0</v>
      </c>
      <c r="U25" s="111">
        <v>0</v>
      </c>
      <c r="V25" s="111">
        <v>0</v>
      </c>
      <c r="W25" s="111">
        <v>0</v>
      </c>
      <c r="X25" s="111">
        <v>0</v>
      </c>
      <c r="Y25" s="111">
        <v>0</v>
      </c>
      <c r="Z25" s="111">
        <v>0</v>
      </c>
      <c r="AA25" s="111">
        <v>0</v>
      </c>
      <c r="AB25" s="111">
        <v>0</v>
      </c>
      <c r="AC25" s="111">
        <v>0</v>
      </c>
      <c r="AD25" s="111">
        <v>0</v>
      </c>
      <c r="AE25" s="111">
        <v>0</v>
      </c>
      <c r="AF25" s="111">
        <v>0</v>
      </c>
      <c r="AG25" s="111">
        <v>0</v>
      </c>
      <c r="AH25" s="111">
        <v>0</v>
      </c>
      <c r="AI25" s="111">
        <v>0</v>
      </c>
      <c r="AJ25" s="111">
        <v>0</v>
      </c>
      <c r="AK25" s="111">
        <v>0</v>
      </c>
      <c r="AL25" s="111">
        <v>0</v>
      </c>
      <c r="AM25" s="111">
        <v>0</v>
      </c>
      <c r="AN25" s="111">
        <v>0</v>
      </c>
      <c r="AO25" s="111">
        <v>0</v>
      </c>
      <c r="AP25" s="111">
        <v>0</v>
      </c>
      <c r="AQ25" s="111">
        <v>0</v>
      </c>
      <c r="AR25" s="111">
        <v>0</v>
      </c>
      <c r="AS25" s="111">
        <v>0</v>
      </c>
      <c r="AT25" s="112">
        <v>0</v>
      </c>
    </row>
    <row r="26" spans="2:46" ht="12" customHeight="1" x14ac:dyDescent="0.3">
      <c r="B26" s="110" t="s">
        <v>22</v>
      </c>
      <c r="C26" s="111" t="s">
        <v>84</v>
      </c>
      <c r="D26" s="111" t="s">
        <v>24</v>
      </c>
      <c r="E26" s="111" t="s">
        <v>748</v>
      </c>
      <c r="F26" s="111" t="s">
        <v>25</v>
      </c>
      <c r="G26" s="111" t="s">
        <v>25</v>
      </c>
      <c r="H26" s="111" t="s">
        <v>69</v>
      </c>
      <c r="I26" s="111" t="s">
        <v>25</v>
      </c>
      <c r="J26" s="111">
        <v>0</v>
      </c>
      <c r="K26" s="111">
        <v>0</v>
      </c>
      <c r="L26" s="111">
        <v>0</v>
      </c>
      <c r="M26" s="111">
        <v>0</v>
      </c>
      <c r="N26" s="111">
        <v>0</v>
      </c>
      <c r="O26" s="111">
        <v>0</v>
      </c>
      <c r="P26" s="111">
        <v>0</v>
      </c>
      <c r="Q26" s="111">
        <v>0</v>
      </c>
      <c r="R26" s="111">
        <v>0</v>
      </c>
      <c r="S26" s="111">
        <v>0</v>
      </c>
      <c r="T26" s="111">
        <v>0</v>
      </c>
      <c r="U26" s="111">
        <v>0</v>
      </c>
      <c r="V26" s="111">
        <v>0</v>
      </c>
      <c r="W26" s="111">
        <v>0</v>
      </c>
      <c r="X26" s="111">
        <v>0</v>
      </c>
      <c r="Y26" s="111">
        <v>0</v>
      </c>
      <c r="Z26" s="111">
        <v>0</v>
      </c>
      <c r="AA26" s="111">
        <v>0</v>
      </c>
      <c r="AB26" s="111">
        <v>0</v>
      </c>
      <c r="AC26" s="111">
        <v>0</v>
      </c>
      <c r="AD26" s="111">
        <v>0</v>
      </c>
      <c r="AE26" s="111">
        <v>0</v>
      </c>
      <c r="AF26" s="111">
        <v>0</v>
      </c>
      <c r="AG26" s="111">
        <v>0</v>
      </c>
      <c r="AH26" s="111">
        <v>0</v>
      </c>
      <c r="AI26" s="111">
        <v>0</v>
      </c>
      <c r="AJ26" s="111">
        <v>0</v>
      </c>
      <c r="AK26" s="111">
        <v>0</v>
      </c>
      <c r="AL26" s="111">
        <v>0</v>
      </c>
      <c r="AM26" s="111">
        <v>0</v>
      </c>
      <c r="AN26" s="111">
        <v>0</v>
      </c>
      <c r="AO26" s="111">
        <v>0</v>
      </c>
      <c r="AP26" s="111">
        <v>0</v>
      </c>
      <c r="AQ26" s="111">
        <v>0</v>
      </c>
      <c r="AR26" s="111">
        <v>0</v>
      </c>
      <c r="AS26" s="111">
        <v>0</v>
      </c>
      <c r="AT26" s="112">
        <v>0</v>
      </c>
    </row>
    <row r="27" spans="2:46" ht="12" customHeight="1" x14ac:dyDescent="0.3">
      <c r="B27" s="110" t="s">
        <v>22</v>
      </c>
      <c r="C27" s="111" t="s">
        <v>84</v>
      </c>
      <c r="D27" s="111" t="s">
        <v>24</v>
      </c>
      <c r="E27" s="111" t="s">
        <v>24</v>
      </c>
      <c r="F27" s="111" t="s">
        <v>25</v>
      </c>
      <c r="G27" s="111" t="s">
        <v>25</v>
      </c>
      <c r="H27" s="111" t="s">
        <v>69</v>
      </c>
      <c r="I27" s="111" t="s">
        <v>25</v>
      </c>
      <c r="J27" s="111">
        <v>0</v>
      </c>
      <c r="K27" s="111">
        <v>0</v>
      </c>
      <c r="L27" s="111">
        <v>0</v>
      </c>
      <c r="M27" s="111">
        <v>0</v>
      </c>
      <c r="N27" s="111">
        <v>0</v>
      </c>
      <c r="O27" s="111">
        <v>0</v>
      </c>
      <c r="P27" s="111">
        <v>0</v>
      </c>
      <c r="Q27" s="111">
        <v>0</v>
      </c>
      <c r="R27" s="111">
        <v>0</v>
      </c>
      <c r="S27" s="111">
        <v>0</v>
      </c>
      <c r="T27" s="111">
        <v>0</v>
      </c>
      <c r="U27" s="111">
        <v>0</v>
      </c>
      <c r="V27" s="111">
        <v>0</v>
      </c>
      <c r="W27" s="111">
        <v>0</v>
      </c>
      <c r="X27" s="111">
        <v>0</v>
      </c>
      <c r="Y27" s="111">
        <v>0</v>
      </c>
      <c r="Z27" s="111">
        <v>0</v>
      </c>
      <c r="AA27" s="111">
        <v>0</v>
      </c>
      <c r="AB27" s="111">
        <v>0</v>
      </c>
      <c r="AC27" s="111">
        <v>0</v>
      </c>
      <c r="AD27" s="111">
        <v>0</v>
      </c>
      <c r="AE27" s="111">
        <v>0</v>
      </c>
      <c r="AF27" s="111">
        <v>0</v>
      </c>
      <c r="AG27" s="111">
        <v>0</v>
      </c>
      <c r="AH27" s="111">
        <v>0</v>
      </c>
      <c r="AI27" s="111">
        <v>0</v>
      </c>
      <c r="AJ27" s="111">
        <v>0</v>
      </c>
      <c r="AK27" s="111">
        <v>0</v>
      </c>
      <c r="AL27" s="111">
        <v>0</v>
      </c>
      <c r="AM27" s="111">
        <v>0</v>
      </c>
      <c r="AN27" s="111">
        <v>0</v>
      </c>
      <c r="AO27" s="111">
        <v>0</v>
      </c>
      <c r="AP27" s="111">
        <v>0</v>
      </c>
      <c r="AQ27" s="111">
        <v>0</v>
      </c>
      <c r="AR27" s="111">
        <v>0</v>
      </c>
      <c r="AS27" s="111">
        <v>0</v>
      </c>
      <c r="AT27" s="112">
        <v>0</v>
      </c>
    </row>
    <row r="28" spans="2:46" ht="12" customHeight="1" x14ac:dyDescent="0.3">
      <c r="B28" s="110" t="s">
        <v>42</v>
      </c>
      <c r="C28" s="111" t="s">
        <v>39</v>
      </c>
      <c r="D28" s="111" t="s">
        <v>43</v>
      </c>
      <c r="E28" s="111" t="s">
        <v>85</v>
      </c>
      <c r="F28" s="111" t="s">
        <v>25</v>
      </c>
      <c r="G28" s="111" t="s">
        <v>37</v>
      </c>
      <c r="H28" s="111" t="s">
        <v>69</v>
      </c>
      <c r="I28" s="111" t="s">
        <v>25</v>
      </c>
      <c r="J28" s="111">
        <v>0</v>
      </c>
      <c r="K28" s="111">
        <v>0</v>
      </c>
      <c r="L28" s="111">
        <v>0</v>
      </c>
      <c r="M28" s="111">
        <v>0</v>
      </c>
      <c r="N28" s="111">
        <v>0</v>
      </c>
      <c r="O28" s="111">
        <v>0</v>
      </c>
      <c r="P28" s="111">
        <v>0</v>
      </c>
      <c r="Q28" s="111">
        <v>0</v>
      </c>
      <c r="R28" s="111">
        <v>0</v>
      </c>
      <c r="S28" s="111">
        <v>0</v>
      </c>
      <c r="T28" s="111">
        <v>0</v>
      </c>
      <c r="U28" s="111">
        <v>0</v>
      </c>
      <c r="V28" s="111">
        <v>0</v>
      </c>
      <c r="W28" s="111">
        <v>0</v>
      </c>
      <c r="X28" s="111">
        <v>0</v>
      </c>
      <c r="Y28" s="111">
        <v>0</v>
      </c>
      <c r="Z28" s="111">
        <v>0</v>
      </c>
      <c r="AA28" s="111">
        <v>0</v>
      </c>
      <c r="AB28" s="111">
        <v>0</v>
      </c>
      <c r="AC28" s="111">
        <v>0</v>
      </c>
      <c r="AD28" s="111">
        <v>0</v>
      </c>
      <c r="AE28" s="111">
        <v>0</v>
      </c>
      <c r="AF28" s="111">
        <v>0</v>
      </c>
      <c r="AG28" s="111">
        <v>0</v>
      </c>
      <c r="AH28" s="111">
        <v>0</v>
      </c>
      <c r="AI28" s="111">
        <v>0</v>
      </c>
      <c r="AJ28" s="111">
        <v>0</v>
      </c>
      <c r="AK28" s="111">
        <v>0</v>
      </c>
      <c r="AL28" s="111">
        <v>0</v>
      </c>
      <c r="AM28" s="111">
        <v>0</v>
      </c>
      <c r="AN28" s="111">
        <v>0</v>
      </c>
      <c r="AO28" s="111">
        <v>0</v>
      </c>
      <c r="AP28" s="111">
        <v>0</v>
      </c>
      <c r="AQ28" s="111">
        <v>0</v>
      </c>
      <c r="AR28" s="111">
        <v>0</v>
      </c>
      <c r="AS28" s="111">
        <v>0</v>
      </c>
      <c r="AT28" s="112">
        <v>0</v>
      </c>
    </row>
    <row r="29" spans="2:46" ht="12" customHeight="1" x14ac:dyDescent="0.3">
      <c r="B29" s="110" t="s">
        <v>42</v>
      </c>
      <c r="C29" s="111" t="s">
        <v>39</v>
      </c>
      <c r="D29" s="111" t="s">
        <v>43</v>
      </c>
      <c r="E29" s="111" t="s">
        <v>85</v>
      </c>
      <c r="F29" s="111" t="s">
        <v>25</v>
      </c>
      <c r="G29" s="111" t="s">
        <v>40</v>
      </c>
      <c r="H29" s="111" t="s">
        <v>69</v>
      </c>
      <c r="I29" s="111" t="s">
        <v>25</v>
      </c>
      <c r="J29" s="111">
        <v>0</v>
      </c>
      <c r="K29" s="111">
        <v>0</v>
      </c>
      <c r="L29" s="111">
        <v>0</v>
      </c>
      <c r="M29" s="111">
        <v>0</v>
      </c>
      <c r="N29" s="111">
        <v>0</v>
      </c>
      <c r="O29" s="111">
        <v>0</v>
      </c>
      <c r="P29" s="111">
        <v>0</v>
      </c>
      <c r="Q29" s="111">
        <v>0</v>
      </c>
      <c r="R29" s="111">
        <v>0</v>
      </c>
      <c r="S29" s="111">
        <v>0</v>
      </c>
      <c r="T29" s="111">
        <v>0</v>
      </c>
      <c r="U29" s="111">
        <v>0</v>
      </c>
      <c r="V29" s="111">
        <v>0</v>
      </c>
      <c r="W29" s="111">
        <v>0</v>
      </c>
      <c r="X29" s="111">
        <v>0</v>
      </c>
      <c r="Y29" s="111">
        <v>0</v>
      </c>
      <c r="Z29" s="111">
        <v>0</v>
      </c>
      <c r="AA29" s="111">
        <v>0</v>
      </c>
      <c r="AB29" s="111">
        <v>0</v>
      </c>
      <c r="AC29" s="111">
        <v>0</v>
      </c>
      <c r="AD29" s="111">
        <v>0</v>
      </c>
      <c r="AE29" s="111">
        <v>0</v>
      </c>
      <c r="AF29" s="111">
        <v>0</v>
      </c>
      <c r="AG29" s="111">
        <v>0</v>
      </c>
      <c r="AH29" s="111">
        <v>0</v>
      </c>
      <c r="AI29" s="111">
        <v>0</v>
      </c>
      <c r="AJ29" s="111">
        <v>0</v>
      </c>
      <c r="AK29" s="111">
        <v>0</v>
      </c>
      <c r="AL29" s="111">
        <v>0</v>
      </c>
      <c r="AM29" s="111">
        <v>0</v>
      </c>
      <c r="AN29" s="111">
        <v>0</v>
      </c>
      <c r="AO29" s="111">
        <v>0</v>
      </c>
      <c r="AP29" s="111">
        <v>0</v>
      </c>
      <c r="AQ29" s="111">
        <v>0</v>
      </c>
      <c r="AR29" s="111">
        <v>0</v>
      </c>
      <c r="AS29" s="111">
        <v>0</v>
      </c>
      <c r="AT29" s="112">
        <v>0</v>
      </c>
    </row>
    <row r="30" spans="2:46" ht="12" customHeight="1" x14ac:dyDescent="0.3">
      <c r="B30" s="110" t="s">
        <v>42</v>
      </c>
      <c r="C30" s="111" t="s">
        <v>39</v>
      </c>
      <c r="D30" s="111" t="s">
        <v>43</v>
      </c>
      <c r="E30" s="111" t="s">
        <v>85</v>
      </c>
      <c r="F30" s="111" t="s">
        <v>25</v>
      </c>
      <c r="G30" s="111" t="s">
        <v>38</v>
      </c>
      <c r="H30" s="111" t="s">
        <v>69</v>
      </c>
      <c r="I30" s="111" t="s">
        <v>25</v>
      </c>
      <c r="J30" s="111">
        <v>0</v>
      </c>
      <c r="K30" s="111">
        <v>0</v>
      </c>
      <c r="L30" s="111">
        <v>0</v>
      </c>
      <c r="M30" s="111">
        <v>0</v>
      </c>
      <c r="N30" s="111">
        <v>0</v>
      </c>
      <c r="O30" s="111">
        <v>0</v>
      </c>
      <c r="P30" s="111">
        <v>0</v>
      </c>
      <c r="Q30" s="111">
        <v>0</v>
      </c>
      <c r="R30" s="111">
        <v>0</v>
      </c>
      <c r="S30" s="111">
        <v>0</v>
      </c>
      <c r="T30" s="111">
        <v>0</v>
      </c>
      <c r="U30" s="111">
        <v>0</v>
      </c>
      <c r="V30" s="111">
        <v>0</v>
      </c>
      <c r="W30" s="111">
        <v>0</v>
      </c>
      <c r="X30" s="111">
        <v>0</v>
      </c>
      <c r="Y30" s="111">
        <v>0</v>
      </c>
      <c r="Z30" s="111">
        <v>0</v>
      </c>
      <c r="AA30" s="111">
        <v>0</v>
      </c>
      <c r="AB30" s="111">
        <v>0</v>
      </c>
      <c r="AC30" s="111">
        <v>0</v>
      </c>
      <c r="AD30" s="111">
        <v>0</v>
      </c>
      <c r="AE30" s="111">
        <v>0</v>
      </c>
      <c r="AF30" s="111">
        <v>0</v>
      </c>
      <c r="AG30" s="111">
        <v>0</v>
      </c>
      <c r="AH30" s="111">
        <v>0</v>
      </c>
      <c r="AI30" s="111">
        <v>0</v>
      </c>
      <c r="AJ30" s="111">
        <v>0</v>
      </c>
      <c r="AK30" s="111">
        <v>0</v>
      </c>
      <c r="AL30" s="111">
        <v>0</v>
      </c>
      <c r="AM30" s="111">
        <v>0</v>
      </c>
      <c r="AN30" s="111">
        <v>0</v>
      </c>
      <c r="AO30" s="111">
        <v>0</v>
      </c>
      <c r="AP30" s="111">
        <v>0</v>
      </c>
      <c r="AQ30" s="111">
        <v>0</v>
      </c>
      <c r="AR30" s="111">
        <v>0</v>
      </c>
      <c r="AS30" s="111">
        <v>0</v>
      </c>
      <c r="AT30" s="112">
        <v>0</v>
      </c>
    </row>
    <row r="31" spans="2:46" ht="12" customHeight="1" x14ac:dyDescent="0.3">
      <c r="B31" s="110" t="s">
        <v>42</v>
      </c>
      <c r="C31" s="111" t="s">
        <v>39</v>
      </c>
      <c r="D31" s="111" t="s">
        <v>43</v>
      </c>
      <c r="E31" s="111" t="s">
        <v>25</v>
      </c>
      <c r="F31" s="111" t="s">
        <v>25</v>
      </c>
      <c r="G31" s="111" t="s">
        <v>37</v>
      </c>
      <c r="H31" s="111" t="s">
        <v>69</v>
      </c>
      <c r="I31" s="111" t="s">
        <v>25</v>
      </c>
      <c r="J31" s="111">
        <v>0</v>
      </c>
      <c r="K31" s="111">
        <v>0</v>
      </c>
      <c r="L31" s="111">
        <v>0</v>
      </c>
      <c r="M31" s="111">
        <v>0</v>
      </c>
      <c r="N31" s="111">
        <v>0</v>
      </c>
      <c r="O31" s="111">
        <v>0</v>
      </c>
      <c r="P31" s="111">
        <v>0</v>
      </c>
      <c r="Q31" s="111">
        <v>0</v>
      </c>
      <c r="R31" s="111">
        <v>0</v>
      </c>
      <c r="S31" s="111">
        <v>0</v>
      </c>
      <c r="T31" s="111">
        <v>0</v>
      </c>
      <c r="U31" s="111">
        <v>0</v>
      </c>
      <c r="V31" s="111">
        <v>0</v>
      </c>
      <c r="W31" s="111">
        <v>0</v>
      </c>
      <c r="X31" s="111">
        <v>0</v>
      </c>
      <c r="Y31" s="111">
        <v>0</v>
      </c>
      <c r="Z31" s="111">
        <v>0</v>
      </c>
      <c r="AA31" s="111">
        <v>0</v>
      </c>
      <c r="AB31" s="111">
        <v>0</v>
      </c>
      <c r="AC31" s="111">
        <v>0</v>
      </c>
      <c r="AD31" s="111">
        <v>0</v>
      </c>
      <c r="AE31" s="111">
        <v>0</v>
      </c>
      <c r="AF31" s="111">
        <v>0</v>
      </c>
      <c r="AG31" s="111">
        <v>0</v>
      </c>
      <c r="AH31" s="111">
        <v>0</v>
      </c>
      <c r="AI31" s="111">
        <v>0</v>
      </c>
      <c r="AJ31" s="111">
        <v>0</v>
      </c>
      <c r="AK31" s="111">
        <v>0</v>
      </c>
      <c r="AL31" s="111">
        <v>0</v>
      </c>
      <c r="AM31" s="111">
        <v>0</v>
      </c>
      <c r="AN31" s="111">
        <v>0</v>
      </c>
      <c r="AO31" s="111">
        <v>0</v>
      </c>
      <c r="AP31" s="111">
        <v>0</v>
      </c>
      <c r="AQ31" s="111">
        <v>0</v>
      </c>
      <c r="AR31" s="111">
        <v>0</v>
      </c>
      <c r="AS31" s="111">
        <v>0</v>
      </c>
      <c r="AT31" s="112">
        <v>0</v>
      </c>
    </row>
    <row r="32" spans="2:46" ht="12" customHeight="1" x14ac:dyDescent="0.3">
      <c r="B32" s="110" t="s">
        <v>42</v>
      </c>
      <c r="C32" s="111" t="s">
        <v>39</v>
      </c>
      <c r="D32" s="111" t="s">
        <v>43</v>
      </c>
      <c r="E32" s="111" t="s">
        <v>25</v>
      </c>
      <c r="F32" s="111" t="s">
        <v>25</v>
      </c>
      <c r="G32" s="111" t="s">
        <v>40</v>
      </c>
      <c r="H32" s="111" t="s">
        <v>69</v>
      </c>
      <c r="I32" s="111" t="s">
        <v>25</v>
      </c>
      <c r="J32" s="111">
        <v>0</v>
      </c>
      <c r="K32" s="111">
        <v>0</v>
      </c>
      <c r="L32" s="111">
        <v>0</v>
      </c>
      <c r="M32" s="111">
        <v>0</v>
      </c>
      <c r="N32" s="111">
        <v>0</v>
      </c>
      <c r="O32" s="111">
        <v>0</v>
      </c>
      <c r="P32" s="111">
        <v>0</v>
      </c>
      <c r="Q32" s="111">
        <v>0</v>
      </c>
      <c r="R32" s="111">
        <v>0</v>
      </c>
      <c r="S32" s="111">
        <v>0</v>
      </c>
      <c r="T32" s="111">
        <v>0</v>
      </c>
      <c r="U32" s="111">
        <v>0</v>
      </c>
      <c r="V32" s="111">
        <v>0</v>
      </c>
      <c r="W32" s="111">
        <v>0</v>
      </c>
      <c r="X32" s="111">
        <v>0</v>
      </c>
      <c r="Y32" s="111">
        <v>0</v>
      </c>
      <c r="Z32" s="111">
        <v>0</v>
      </c>
      <c r="AA32" s="111">
        <v>0</v>
      </c>
      <c r="AB32" s="111">
        <v>0</v>
      </c>
      <c r="AC32" s="111">
        <v>0</v>
      </c>
      <c r="AD32" s="111">
        <v>0</v>
      </c>
      <c r="AE32" s="111">
        <v>0</v>
      </c>
      <c r="AF32" s="111">
        <v>0</v>
      </c>
      <c r="AG32" s="111">
        <v>0</v>
      </c>
      <c r="AH32" s="111">
        <v>0</v>
      </c>
      <c r="AI32" s="111">
        <v>0</v>
      </c>
      <c r="AJ32" s="111">
        <v>0</v>
      </c>
      <c r="AK32" s="111">
        <v>0</v>
      </c>
      <c r="AL32" s="111">
        <v>0</v>
      </c>
      <c r="AM32" s="111">
        <v>0</v>
      </c>
      <c r="AN32" s="111">
        <v>0</v>
      </c>
      <c r="AO32" s="111">
        <v>0</v>
      </c>
      <c r="AP32" s="111">
        <v>0</v>
      </c>
      <c r="AQ32" s="111">
        <v>0</v>
      </c>
      <c r="AR32" s="111">
        <v>0</v>
      </c>
      <c r="AS32" s="111">
        <v>0</v>
      </c>
      <c r="AT32" s="112">
        <v>0</v>
      </c>
    </row>
    <row r="33" spans="2:46" ht="12" customHeight="1" x14ac:dyDescent="0.3">
      <c r="B33" s="110" t="s">
        <v>42</v>
      </c>
      <c r="C33" s="111" t="s">
        <v>39</v>
      </c>
      <c r="D33" s="111" t="s">
        <v>43</v>
      </c>
      <c r="E33" s="111" t="s">
        <v>25</v>
      </c>
      <c r="F33" s="111" t="s">
        <v>25</v>
      </c>
      <c r="G33" s="111" t="s">
        <v>38</v>
      </c>
      <c r="H33" s="111" t="s">
        <v>69</v>
      </c>
      <c r="I33" s="111" t="s">
        <v>25</v>
      </c>
      <c r="J33" s="111">
        <v>0</v>
      </c>
      <c r="K33" s="111">
        <v>0</v>
      </c>
      <c r="L33" s="111">
        <v>0</v>
      </c>
      <c r="M33" s="111">
        <v>0</v>
      </c>
      <c r="N33" s="111">
        <v>0</v>
      </c>
      <c r="O33" s="111">
        <v>0</v>
      </c>
      <c r="P33" s="111">
        <v>0</v>
      </c>
      <c r="Q33" s="111">
        <v>0</v>
      </c>
      <c r="R33" s="111">
        <v>0</v>
      </c>
      <c r="S33" s="111">
        <v>0</v>
      </c>
      <c r="T33" s="111">
        <v>0</v>
      </c>
      <c r="U33" s="111">
        <v>0</v>
      </c>
      <c r="V33" s="111">
        <v>0</v>
      </c>
      <c r="W33" s="111">
        <v>0</v>
      </c>
      <c r="X33" s="111">
        <v>0</v>
      </c>
      <c r="Y33" s="111">
        <v>0</v>
      </c>
      <c r="Z33" s="111">
        <v>0</v>
      </c>
      <c r="AA33" s="111">
        <v>0</v>
      </c>
      <c r="AB33" s="111">
        <v>0</v>
      </c>
      <c r="AC33" s="111">
        <v>0</v>
      </c>
      <c r="AD33" s="111">
        <v>0</v>
      </c>
      <c r="AE33" s="111">
        <v>0</v>
      </c>
      <c r="AF33" s="111">
        <v>0</v>
      </c>
      <c r="AG33" s="111">
        <v>0</v>
      </c>
      <c r="AH33" s="111">
        <v>0</v>
      </c>
      <c r="AI33" s="111">
        <v>0</v>
      </c>
      <c r="AJ33" s="111">
        <v>0</v>
      </c>
      <c r="AK33" s="111">
        <v>0</v>
      </c>
      <c r="AL33" s="111">
        <v>0</v>
      </c>
      <c r="AM33" s="111">
        <v>0</v>
      </c>
      <c r="AN33" s="111">
        <v>0</v>
      </c>
      <c r="AO33" s="111">
        <v>0</v>
      </c>
      <c r="AP33" s="111">
        <v>0</v>
      </c>
      <c r="AQ33" s="111">
        <v>0</v>
      </c>
      <c r="AR33" s="111">
        <v>0</v>
      </c>
      <c r="AS33" s="111">
        <v>0</v>
      </c>
      <c r="AT33" s="112">
        <v>0</v>
      </c>
    </row>
    <row r="34" spans="2:46" ht="12" customHeight="1" x14ac:dyDescent="0.3">
      <c r="B34" s="110" t="s">
        <v>42</v>
      </c>
      <c r="C34" s="111" t="s">
        <v>39</v>
      </c>
      <c r="D34" s="111" t="s">
        <v>43</v>
      </c>
      <c r="E34" s="111" t="s">
        <v>86</v>
      </c>
      <c r="F34" s="111" t="s">
        <v>25</v>
      </c>
      <c r="G34" s="111" t="s">
        <v>37</v>
      </c>
      <c r="H34" s="111" t="s">
        <v>69</v>
      </c>
      <c r="I34" s="111" t="s">
        <v>25</v>
      </c>
      <c r="J34" s="111">
        <v>0</v>
      </c>
      <c r="K34" s="111">
        <v>0</v>
      </c>
      <c r="L34" s="111">
        <v>0</v>
      </c>
      <c r="M34" s="111">
        <v>0</v>
      </c>
      <c r="N34" s="111">
        <v>0</v>
      </c>
      <c r="O34" s="111">
        <v>0</v>
      </c>
      <c r="P34" s="111">
        <v>0</v>
      </c>
      <c r="Q34" s="111">
        <v>0</v>
      </c>
      <c r="R34" s="111">
        <v>0</v>
      </c>
      <c r="S34" s="111">
        <v>0</v>
      </c>
      <c r="T34" s="111">
        <v>0</v>
      </c>
      <c r="U34" s="111">
        <v>0</v>
      </c>
      <c r="V34" s="111">
        <v>0</v>
      </c>
      <c r="W34" s="111">
        <v>0</v>
      </c>
      <c r="X34" s="111">
        <v>0</v>
      </c>
      <c r="Y34" s="111">
        <v>0</v>
      </c>
      <c r="Z34" s="111">
        <v>0</v>
      </c>
      <c r="AA34" s="111">
        <v>0</v>
      </c>
      <c r="AB34" s="111">
        <v>0</v>
      </c>
      <c r="AC34" s="111">
        <v>0</v>
      </c>
      <c r="AD34" s="111">
        <v>0</v>
      </c>
      <c r="AE34" s="111">
        <v>0</v>
      </c>
      <c r="AF34" s="111">
        <v>0</v>
      </c>
      <c r="AG34" s="111">
        <v>0</v>
      </c>
      <c r="AH34" s="111">
        <v>0</v>
      </c>
      <c r="AI34" s="111">
        <v>0</v>
      </c>
      <c r="AJ34" s="111">
        <v>0</v>
      </c>
      <c r="AK34" s="111">
        <v>0</v>
      </c>
      <c r="AL34" s="111">
        <v>0</v>
      </c>
      <c r="AM34" s="111">
        <v>0</v>
      </c>
      <c r="AN34" s="111">
        <v>0</v>
      </c>
      <c r="AO34" s="111">
        <v>0</v>
      </c>
      <c r="AP34" s="111">
        <v>0</v>
      </c>
      <c r="AQ34" s="111">
        <v>0</v>
      </c>
      <c r="AR34" s="111">
        <v>0</v>
      </c>
      <c r="AS34" s="111">
        <v>0</v>
      </c>
      <c r="AT34" s="112">
        <v>0</v>
      </c>
    </row>
    <row r="35" spans="2:46" ht="12" customHeight="1" x14ac:dyDescent="0.3">
      <c r="B35" s="110" t="s">
        <v>42</v>
      </c>
      <c r="C35" s="111" t="s">
        <v>39</v>
      </c>
      <c r="D35" s="111" t="s">
        <v>43</v>
      </c>
      <c r="E35" s="111" t="s">
        <v>86</v>
      </c>
      <c r="F35" s="111" t="s">
        <v>25</v>
      </c>
      <c r="G35" s="111" t="s">
        <v>40</v>
      </c>
      <c r="H35" s="111" t="s">
        <v>69</v>
      </c>
      <c r="I35" s="111" t="s">
        <v>25</v>
      </c>
      <c r="J35" s="111">
        <v>0</v>
      </c>
      <c r="K35" s="111">
        <v>0</v>
      </c>
      <c r="L35" s="111">
        <v>0</v>
      </c>
      <c r="M35" s="111">
        <v>0</v>
      </c>
      <c r="N35" s="111">
        <v>0</v>
      </c>
      <c r="O35" s="111">
        <v>0</v>
      </c>
      <c r="P35" s="111">
        <v>0</v>
      </c>
      <c r="Q35" s="111">
        <v>0</v>
      </c>
      <c r="R35" s="111">
        <v>0</v>
      </c>
      <c r="S35" s="111">
        <v>0</v>
      </c>
      <c r="T35" s="111">
        <v>0</v>
      </c>
      <c r="U35" s="111">
        <v>0</v>
      </c>
      <c r="V35" s="111">
        <v>0</v>
      </c>
      <c r="W35" s="111">
        <v>0</v>
      </c>
      <c r="X35" s="111">
        <v>0</v>
      </c>
      <c r="Y35" s="111">
        <v>0</v>
      </c>
      <c r="Z35" s="111">
        <v>0</v>
      </c>
      <c r="AA35" s="111">
        <v>0</v>
      </c>
      <c r="AB35" s="111">
        <v>0</v>
      </c>
      <c r="AC35" s="111">
        <v>0</v>
      </c>
      <c r="AD35" s="111">
        <v>0</v>
      </c>
      <c r="AE35" s="111">
        <v>0</v>
      </c>
      <c r="AF35" s="111">
        <v>0</v>
      </c>
      <c r="AG35" s="111">
        <v>0</v>
      </c>
      <c r="AH35" s="111">
        <v>0</v>
      </c>
      <c r="AI35" s="111">
        <v>0</v>
      </c>
      <c r="AJ35" s="111">
        <v>0</v>
      </c>
      <c r="AK35" s="111">
        <v>0</v>
      </c>
      <c r="AL35" s="111">
        <v>0</v>
      </c>
      <c r="AM35" s="111">
        <v>0</v>
      </c>
      <c r="AN35" s="111">
        <v>0</v>
      </c>
      <c r="AO35" s="111">
        <v>0</v>
      </c>
      <c r="AP35" s="111">
        <v>0</v>
      </c>
      <c r="AQ35" s="111">
        <v>0</v>
      </c>
      <c r="AR35" s="111">
        <v>0</v>
      </c>
      <c r="AS35" s="111">
        <v>0</v>
      </c>
      <c r="AT35" s="112">
        <v>0</v>
      </c>
    </row>
    <row r="36" spans="2:46" ht="12" customHeight="1" x14ac:dyDescent="0.3">
      <c r="B36" s="110" t="s">
        <v>42</v>
      </c>
      <c r="C36" s="111" t="s">
        <v>39</v>
      </c>
      <c r="D36" s="111" t="s">
        <v>43</v>
      </c>
      <c r="E36" s="111" t="s">
        <v>86</v>
      </c>
      <c r="F36" s="111" t="s">
        <v>25</v>
      </c>
      <c r="G36" s="111" t="s">
        <v>38</v>
      </c>
      <c r="H36" s="111" t="s">
        <v>69</v>
      </c>
      <c r="I36" s="111" t="s">
        <v>25</v>
      </c>
      <c r="J36" s="111">
        <v>0</v>
      </c>
      <c r="K36" s="111">
        <v>0</v>
      </c>
      <c r="L36" s="111">
        <v>0</v>
      </c>
      <c r="M36" s="111">
        <v>0</v>
      </c>
      <c r="N36" s="111">
        <v>0</v>
      </c>
      <c r="O36" s="111">
        <v>0</v>
      </c>
      <c r="P36" s="111">
        <v>0</v>
      </c>
      <c r="Q36" s="111">
        <v>0</v>
      </c>
      <c r="R36" s="111">
        <v>0</v>
      </c>
      <c r="S36" s="111">
        <v>0</v>
      </c>
      <c r="T36" s="111">
        <v>0</v>
      </c>
      <c r="U36" s="111">
        <v>0</v>
      </c>
      <c r="V36" s="111">
        <v>0</v>
      </c>
      <c r="W36" s="111">
        <v>0</v>
      </c>
      <c r="X36" s="111">
        <v>0</v>
      </c>
      <c r="Y36" s="111">
        <v>0</v>
      </c>
      <c r="Z36" s="111">
        <v>0</v>
      </c>
      <c r="AA36" s="111">
        <v>0</v>
      </c>
      <c r="AB36" s="111">
        <v>0</v>
      </c>
      <c r="AC36" s="111">
        <v>0</v>
      </c>
      <c r="AD36" s="111">
        <v>0</v>
      </c>
      <c r="AE36" s="111">
        <v>0</v>
      </c>
      <c r="AF36" s="111">
        <v>0</v>
      </c>
      <c r="AG36" s="111">
        <v>0</v>
      </c>
      <c r="AH36" s="111">
        <v>0</v>
      </c>
      <c r="AI36" s="111">
        <v>0</v>
      </c>
      <c r="AJ36" s="111">
        <v>0</v>
      </c>
      <c r="AK36" s="111">
        <v>0</v>
      </c>
      <c r="AL36" s="111">
        <v>0</v>
      </c>
      <c r="AM36" s="111">
        <v>0</v>
      </c>
      <c r="AN36" s="111">
        <v>0</v>
      </c>
      <c r="AO36" s="111">
        <v>0</v>
      </c>
      <c r="AP36" s="111">
        <v>0</v>
      </c>
      <c r="AQ36" s="111">
        <v>0</v>
      </c>
      <c r="AR36" s="111">
        <v>0</v>
      </c>
      <c r="AS36" s="111">
        <v>0</v>
      </c>
      <c r="AT36" s="112">
        <v>0</v>
      </c>
    </row>
    <row r="37" spans="2:46" ht="12" customHeight="1" x14ac:dyDescent="0.3">
      <c r="B37" s="110" t="s">
        <v>42</v>
      </c>
      <c r="C37" s="111" t="s">
        <v>23</v>
      </c>
      <c r="D37" s="111" t="s">
        <v>43</v>
      </c>
      <c r="E37" s="111" t="s">
        <v>85</v>
      </c>
      <c r="F37" s="111" t="s">
        <v>25</v>
      </c>
      <c r="G37" s="111" t="s">
        <v>25</v>
      </c>
      <c r="H37" s="111" t="s">
        <v>69</v>
      </c>
      <c r="I37" s="111" t="s">
        <v>25</v>
      </c>
      <c r="J37" s="111">
        <v>0</v>
      </c>
      <c r="K37" s="111">
        <v>0</v>
      </c>
      <c r="L37" s="111">
        <v>0</v>
      </c>
      <c r="M37" s="111">
        <v>0</v>
      </c>
      <c r="N37" s="111">
        <v>0</v>
      </c>
      <c r="O37" s="111">
        <v>0</v>
      </c>
      <c r="P37" s="111">
        <v>0</v>
      </c>
      <c r="Q37" s="111">
        <v>0</v>
      </c>
      <c r="R37" s="111">
        <v>0</v>
      </c>
      <c r="S37" s="111">
        <v>0</v>
      </c>
      <c r="T37" s="111">
        <v>0</v>
      </c>
      <c r="U37" s="111">
        <v>0</v>
      </c>
      <c r="V37" s="111">
        <v>0</v>
      </c>
      <c r="W37" s="111">
        <v>0</v>
      </c>
      <c r="X37" s="111">
        <v>0</v>
      </c>
      <c r="Y37" s="111">
        <v>0</v>
      </c>
      <c r="Z37" s="111">
        <v>0</v>
      </c>
      <c r="AA37" s="111">
        <v>0</v>
      </c>
      <c r="AB37" s="111">
        <v>0</v>
      </c>
      <c r="AC37" s="111">
        <v>0</v>
      </c>
      <c r="AD37" s="111">
        <v>0</v>
      </c>
      <c r="AE37" s="111">
        <v>0</v>
      </c>
      <c r="AF37" s="111">
        <v>0</v>
      </c>
      <c r="AG37" s="111">
        <v>0</v>
      </c>
      <c r="AH37" s="111">
        <v>0</v>
      </c>
      <c r="AI37" s="111">
        <v>0</v>
      </c>
      <c r="AJ37" s="111">
        <v>0</v>
      </c>
      <c r="AK37" s="111">
        <v>0</v>
      </c>
      <c r="AL37" s="111">
        <v>0</v>
      </c>
      <c r="AM37" s="111">
        <v>0</v>
      </c>
      <c r="AN37" s="111">
        <v>0</v>
      </c>
      <c r="AO37" s="111">
        <v>0</v>
      </c>
      <c r="AP37" s="111">
        <v>0</v>
      </c>
      <c r="AQ37" s="111">
        <v>0</v>
      </c>
      <c r="AR37" s="111">
        <v>0</v>
      </c>
      <c r="AS37" s="111">
        <v>0</v>
      </c>
      <c r="AT37" s="112">
        <v>0</v>
      </c>
    </row>
    <row r="38" spans="2:46" ht="12" customHeight="1" x14ac:dyDescent="0.3">
      <c r="B38" s="110" t="s">
        <v>42</v>
      </c>
      <c r="C38" s="111" t="s">
        <v>23</v>
      </c>
      <c r="D38" s="111" t="s">
        <v>43</v>
      </c>
      <c r="E38" s="111" t="s">
        <v>25</v>
      </c>
      <c r="F38" s="111" t="s">
        <v>25</v>
      </c>
      <c r="G38" s="111" t="s">
        <v>25</v>
      </c>
      <c r="H38" s="111" t="s">
        <v>69</v>
      </c>
      <c r="I38" s="111" t="s">
        <v>25</v>
      </c>
      <c r="J38" s="111">
        <v>0</v>
      </c>
      <c r="K38" s="111">
        <v>0</v>
      </c>
      <c r="L38" s="111">
        <v>0</v>
      </c>
      <c r="M38" s="111">
        <v>0</v>
      </c>
      <c r="N38" s="111">
        <v>0</v>
      </c>
      <c r="O38" s="111">
        <v>0</v>
      </c>
      <c r="P38" s="111">
        <v>0</v>
      </c>
      <c r="Q38" s="111">
        <v>0</v>
      </c>
      <c r="R38" s="111">
        <v>0</v>
      </c>
      <c r="S38" s="111">
        <v>0</v>
      </c>
      <c r="T38" s="111">
        <v>0</v>
      </c>
      <c r="U38" s="111">
        <v>0</v>
      </c>
      <c r="V38" s="111">
        <v>0</v>
      </c>
      <c r="W38" s="111">
        <v>0</v>
      </c>
      <c r="X38" s="111">
        <v>0</v>
      </c>
      <c r="Y38" s="111">
        <v>0</v>
      </c>
      <c r="Z38" s="111">
        <v>0</v>
      </c>
      <c r="AA38" s="111">
        <v>0</v>
      </c>
      <c r="AB38" s="111">
        <v>0</v>
      </c>
      <c r="AC38" s="111">
        <v>0</v>
      </c>
      <c r="AD38" s="111">
        <v>0</v>
      </c>
      <c r="AE38" s="111">
        <v>0</v>
      </c>
      <c r="AF38" s="111">
        <v>0</v>
      </c>
      <c r="AG38" s="111">
        <v>0</v>
      </c>
      <c r="AH38" s="111">
        <v>0</v>
      </c>
      <c r="AI38" s="111">
        <v>0</v>
      </c>
      <c r="AJ38" s="111">
        <v>0</v>
      </c>
      <c r="AK38" s="111">
        <v>0</v>
      </c>
      <c r="AL38" s="111">
        <v>0</v>
      </c>
      <c r="AM38" s="111">
        <v>0</v>
      </c>
      <c r="AN38" s="111">
        <v>0</v>
      </c>
      <c r="AO38" s="111">
        <v>0</v>
      </c>
      <c r="AP38" s="111">
        <v>0</v>
      </c>
      <c r="AQ38" s="111">
        <v>0</v>
      </c>
      <c r="AR38" s="111">
        <v>0</v>
      </c>
      <c r="AS38" s="111">
        <v>0</v>
      </c>
      <c r="AT38" s="112">
        <v>0</v>
      </c>
    </row>
    <row r="39" spans="2:46" ht="12" customHeight="1" x14ac:dyDescent="0.3">
      <c r="B39" s="110" t="s">
        <v>42</v>
      </c>
      <c r="C39" s="111" t="s">
        <v>23</v>
      </c>
      <c r="D39" s="111" t="s">
        <v>43</v>
      </c>
      <c r="E39" s="111" t="s">
        <v>86</v>
      </c>
      <c r="F39" s="111" t="s">
        <v>25</v>
      </c>
      <c r="G39" s="111" t="s">
        <v>25</v>
      </c>
      <c r="H39" s="111" t="s">
        <v>69</v>
      </c>
      <c r="I39" s="111" t="s">
        <v>25</v>
      </c>
      <c r="J39" s="111">
        <v>0</v>
      </c>
      <c r="K39" s="111">
        <v>0</v>
      </c>
      <c r="L39" s="111">
        <v>0</v>
      </c>
      <c r="M39" s="111">
        <v>0</v>
      </c>
      <c r="N39" s="111">
        <v>0</v>
      </c>
      <c r="O39" s="111">
        <v>0</v>
      </c>
      <c r="P39" s="111">
        <v>0</v>
      </c>
      <c r="Q39" s="111">
        <v>0</v>
      </c>
      <c r="R39" s="111">
        <v>0</v>
      </c>
      <c r="S39" s="111">
        <v>0</v>
      </c>
      <c r="T39" s="111">
        <v>0</v>
      </c>
      <c r="U39" s="111">
        <v>0</v>
      </c>
      <c r="V39" s="111">
        <v>0</v>
      </c>
      <c r="W39" s="111">
        <v>0</v>
      </c>
      <c r="X39" s="111">
        <v>0</v>
      </c>
      <c r="Y39" s="111">
        <v>0</v>
      </c>
      <c r="Z39" s="111">
        <v>0</v>
      </c>
      <c r="AA39" s="111">
        <v>0</v>
      </c>
      <c r="AB39" s="111">
        <v>0</v>
      </c>
      <c r="AC39" s="111">
        <v>0</v>
      </c>
      <c r="AD39" s="111">
        <v>0</v>
      </c>
      <c r="AE39" s="111">
        <v>0</v>
      </c>
      <c r="AF39" s="111">
        <v>0</v>
      </c>
      <c r="AG39" s="111">
        <v>0</v>
      </c>
      <c r="AH39" s="111">
        <v>0</v>
      </c>
      <c r="AI39" s="111">
        <v>0</v>
      </c>
      <c r="AJ39" s="111">
        <v>0</v>
      </c>
      <c r="AK39" s="111">
        <v>0</v>
      </c>
      <c r="AL39" s="111">
        <v>0</v>
      </c>
      <c r="AM39" s="111">
        <v>0</v>
      </c>
      <c r="AN39" s="111">
        <v>0</v>
      </c>
      <c r="AO39" s="111">
        <v>0</v>
      </c>
      <c r="AP39" s="111">
        <v>0</v>
      </c>
      <c r="AQ39" s="111">
        <v>0</v>
      </c>
      <c r="AR39" s="111">
        <v>0</v>
      </c>
      <c r="AS39" s="111">
        <v>0</v>
      </c>
      <c r="AT39" s="112">
        <v>0</v>
      </c>
    </row>
    <row r="40" spans="2:46" ht="12" customHeight="1" x14ac:dyDescent="0.3">
      <c r="B40" s="110" t="s">
        <v>42</v>
      </c>
      <c r="C40" s="111" t="s">
        <v>84</v>
      </c>
      <c r="D40" s="111" t="s">
        <v>43</v>
      </c>
      <c r="E40" s="111" t="s">
        <v>85</v>
      </c>
      <c r="F40" s="111" t="s">
        <v>25</v>
      </c>
      <c r="G40" s="111" t="s">
        <v>25</v>
      </c>
      <c r="H40" s="111" t="s">
        <v>69</v>
      </c>
      <c r="I40" s="111" t="s">
        <v>25</v>
      </c>
      <c r="J40" s="111">
        <v>0</v>
      </c>
      <c r="K40" s="111">
        <v>0</v>
      </c>
      <c r="L40" s="111">
        <v>0</v>
      </c>
      <c r="M40" s="111">
        <v>0</v>
      </c>
      <c r="N40" s="111">
        <v>0</v>
      </c>
      <c r="O40" s="111">
        <v>0</v>
      </c>
      <c r="P40" s="111">
        <v>0</v>
      </c>
      <c r="Q40" s="111">
        <v>0</v>
      </c>
      <c r="R40" s="111">
        <v>0</v>
      </c>
      <c r="S40" s="111">
        <v>0</v>
      </c>
      <c r="T40" s="111">
        <v>0</v>
      </c>
      <c r="U40" s="111">
        <v>0</v>
      </c>
      <c r="V40" s="111">
        <v>0</v>
      </c>
      <c r="W40" s="111">
        <v>0</v>
      </c>
      <c r="X40" s="111">
        <v>0</v>
      </c>
      <c r="Y40" s="111">
        <v>0</v>
      </c>
      <c r="Z40" s="111">
        <v>0</v>
      </c>
      <c r="AA40" s="111">
        <v>0</v>
      </c>
      <c r="AB40" s="111">
        <v>0</v>
      </c>
      <c r="AC40" s="111">
        <v>0</v>
      </c>
      <c r="AD40" s="111">
        <v>0</v>
      </c>
      <c r="AE40" s="111">
        <v>0</v>
      </c>
      <c r="AF40" s="111">
        <v>0</v>
      </c>
      <c r="AG40" s="111">
        <v>0</v>
      </c>
      <c r="AH40" s="111">
        <v>0</v>
      </c>
      <c r="AI40" s="111">
        <v>0</v>
      </c>
      <c r="AJ40" s="111">
        <v>0</v>
      </c>
      <c r="AK40" s="111">
        <v>0</v>
      </c>
      <c r="AL40" s="111">
        <v>0</v>
      </c>
      <c r="AM40" s="111">
        <v>0</v>
      </c>
      <c r="AN40" s="111">
        <v>0</v>
      </c>
      <c r="AO40" s="111">
        <v>0</v>
      </c>
      <c r="AP40" s="111">
        <v>0</v>
      </c>
      <c r="AQ40" s="111">
        <v>0</v>
      </c>
      <c r="AR40" s="111">
        <v>0</v>
      </c>
      <c r="AS40" s="111">
        <v>0</v>
      </c>
      <c r="AT40" s="112">
        <v>0</v>
      </c>
    </row>
    <row r="41" spans="2:46" ht="12" customHeight="1" x14ac:dyDescent="0.3">
      <c r="B41" s="110" t="s">
        <v>42</v>
      </c>
      <c r="C41" s="111" t="s">
        <v>84</v>
      </c>
      <c r="D41" s="111" t="s">
        <v>43</v>
      </c>
      <c r="E41" s="111" t="s">
        <v>25</v>
      </c>
      <c r="F41" s="111" t="s">
        <v>25</v>
      </c>
      <c r="G41" s="111" t="s">
        <v>25</v>
      </c>
      <c r="H41" s="111" t="s">
        <v>69</v>
      </c>
      <c r="I41" s="111" t="s">
        <v>25</v>
      </c>
      <c r="J41" s="111">
        <v>0</v>
      </c>
      <c r="K41" s="111">
        <v>0</v>
      </c>
      <c r="L41" s="111">
        <v>0</v>
      </c>
      <c r="M41" s="111">
        <v>0</v>
      </c>
      <c r="N41" s="111">
        <v>0</v>
      </c>
      <c r="O41" s="111">
        <v>0</v>
      </c>
      <c r="P41" s="111">
        <v>0</v>
      </c>
      <c r="Q41" s="111">
        <v>0</v>
      </c>
      <c r="R41" s="111">
        <v>0</v>
      </c>
      <c r="S41" s="111">
        <v>0</v>
      </c>
      <c r="T41" s="111">
        <v>0</v>
      </c>
      <c r="U41" s="111">
        <v>0</v>
      </c>
      <c r="V41" s="111">
        <v>0</v>
      </c>
      <c r="W41" s="111">
        <v>0</v>
      </c>
      <c r="X41" s="111">
        <v>0</v>
      </c>
      <c r="Y41" s="111">
        <v>0</v>
      </c>
      <c r="Z41" s="111">
        <v>0</v>
      </c>
      <c r="AA41" s="111">
        <v>0</v>
      </c>
      <c r="AB41" s="111">
        <v>0</v>
      </c>
      <c r="AC41" s="111">
        <v>0</v>
      </c>
      <c r="AD41" s="111">
        <v>0</v>
      </c>
      <c r="AE41" s="111">
        <v>0</v>
      </c>
      <c r="AF41" s="111">
        <v>0</v>
      </c>
      <c r="AG41" s="111">
        <v>0</v>
      </c>
      <c r="AH41" s="111">
        <v>0</v>
      </c>
      <c r="AI41" s="111">
        <v>0</v>
      </c>
      <c r="AJ41" s="111">
        <v>0</v>
      </c>
      <c r="AK41" s="111">
        <v>0</v>
      </c>
      <c r="AL41" s="111">
        <v>0</v>
      </c>
      <c r="AM41" s="111">
        <v>0</v>
      </c>
      <c r="AN41" s="111">
        <v>0</v>
      </c>
      <c r="AO41" s="111">
        <v>0</v>
      </c>
      <c r="AP41" s="111">
        <v>0</v>
      </c>
      <c r="AQ41" s="111">
        <v>0</v>
      </c>
      <c r="AR41" s="111">
        <v>0</v>
      </c>
      <c r="AS41" s="111">
        <v>0</v>
      </c>
      <c r="AT41" s="112">
        <v>0</v>
      </c>
    </row>
    <row r="42" spans="2:46" ht="12" customHeight="1" x14ac:dyDescent="0.3">
      <c r="B42" s="110" t="s">
        <v>42</v>
      </c>
      <c r="C42" s="111" t="s">
        <v>84</v>
      </c>
      <c r="D42" s="111" t="s">
        <v>43</v>
      </c>
      <c r="E42" s="111" t="s">
        <v>86</v>
      </c>
      <c r="F42" s="111" t="s">
        <v>25</v>
      </c>
      <c r="G42" s="111" t="s">
        <v>25</v>
      </c>
      <c r="H42" s="111" t="s">
        <v>69</v>
      </c>
      <c r="I42" s="111" t="s">
        <v>25</v>
      </c>
      <c r="J42" s="111">
        <v>0</v>
      </c>
      <c r="K42" s="111">
        <v>0</v>
      </c>
      <c r="L42" s="111">
        <v>0</v>
      </c>
      <c r="M42" s="111">
        <v>0</v>
      </c>
      <c r="N42" s="111">
        <v>0</v>
      </c>
      <c r="O42" s="111">
        <v>0</v>
      </c>
      <c r="P42" s="111">
        <v>0</v>
      </c>
      <c r="Q42" s="111">
        <v>0</v>
      </c>
      <c r="R42" s="111">
        <v>0</v>
      </c>
      <c r="S42" s="111">
        <v>0</v>
      </c>
      <c r="T42" s="111">
        <v>0</v>
      </c>
      <c r="U42" s="111">
        <v>0</v>
      </c>
      <c r="V42" s="111">
        <v>0</v>
      </c>
      <c r="W42" s="111">
        <v>0</v>
      </c>
      <c r="X42" s="111">
        <v>0</v>
      </c>
      <c r="Y42" s="111">
        <v>0</v>
      </c>
      <c r="Z42" s="111">
        <v>0</v>
      </c>
      <c r="AA42" s="111">
        <v>0</v>
      </c>
      <c r="AB42" s="111">
        <v>0</v>
      </c>
      <c r="AC42" s="111">
        <v>0</v>
      </c>
      <c r="AD42" s="111">
        <v>0</v>
      </c>
      <c r="AE42" s="111">
        <v>0</v>
      </c>
      <c r="AF42" s="111">
        <v>0</v>
      </c>
      <c r="AG42" s="111">
        <v>0</v>
      </c>
      <c r="AH42" s="111">
        <v>0</v>
      </c>
      <c r="AI42" s="111">
        <v>0</v>
      </c>
      <c r="AJ42" s="111">
        <v>0</v>
      </c>
      <c r="AK42" s="111">
        <v>0</v>
      </c>
      <c r="AL42" s="111">
        <v>0</v>
      </c>
      <c r="AM42" s="111">
        <v>0</v>
      </c>
      <c r="AN42" s="111">
        <v>0</v>
      </c>
      <c r="AO42" s="111">
        <v>0</v>
      </c>
      <c r="AP42" s="111">
        <v>0</v>
      </c>
      <c r="AQ42" s="111">
        <v>0</v>
      </c>
      <c r="AR42" s="111">
        <v>0</v>
      </c>
      <c r="AS42" s="111">
        <v>0</v>
      </c>
      <c r="AT42" s="112">
        <v>0</v>
      </c>
    </row>
    <row r="43" spans="2:46" ht="12" customHeight="1" x14ac:dyDescent="0.3">
      <c r="B43" s="110" t="s">
        <v>33</v>
      </c>
      <c r="C43" s="111" t="s">
        <v>39</v>
      </c>
      <c r="D43" s="111" t="s">
        <v>25</v>
      </c>
      <c r="E43" s="111" t="s">
        <v>25</v>
      </c>
      <c r="F43" s="111" t="s">
        <v>25</v>
      </c>
      <c r="G43" s="111" t="s">
        <v>37</v>
      </c>
      <c r="H43" s="111" t="s">
        <v>69</v>
      </c>
      <c r="I43" s="111" t="s">
        <v>25</v>
      </c>
      <c r="J43" s="111">
        <v>0</v>
      </c>
      <c r="K43" s="111">
        <v>0</v>
      </c>
      <c r="L43" s="111">
        <v>0</v>
      </c>
      <c r="M43" s="111">
        <v>0</v>
      </c>
      <c r="N43" s="111">
        <v>0</v>
      </c>
      <c r="O43" s="111">
        <v>0</v>
      </c>
      <c r="P43" s="111">
        <v>0</v>
      </c>
      <c r="Q43" s="111">
        <v>0</v>
      </c>
      <c r="R43" s="111">
        <v>0</v>
      </c>
      <c r="S43" s="111">
        <v>0</v>
      </c>
      <c r="T43" s="111">
        <v>0</v>
      </c>
      <c r="U43" s="111">
        <v>0</v>
      </c>
      <c r="V43" s="111">
        <v>0</v>
      </c>
      <c r="W43" s="111">
        <v>0</v>
      </c>
      <c r="X43" s="111">
        <v>0</v>
      </c>
      <c r="Y43" s="111">
        <v>0</v>
      </c>
      <c r="Z43" s="111">
        <v>0</v>
      </c>
      <c r="AA43" s="111">
        <v>0</v>
      </c>
      <c r="AB43" s="111">
        <v>0</v>
      </c>
      <c r="AC43" s="111">
        <v>0</v>
      </c>
      <c r="AD43" s="111">
        <v>0</v>
      </c>
      <c r="AE43" s="111">
        <v>0</v>
      </c>
      <c r="AF43" s="111">
        <v>0</v>
      </c>
      <c r="AG43" s="111">
        <v>0</v>
      </c>
      <c r="AH43" s="111">
        <v>0</v>
      </c>
      <c r="AI43" s="111">
        <v>0</v>
      </c>
      <c r="AJ43" s="111">
        <v>0</v>
      </c>
      <c r="AK43" s="111">
        <v>0</v>
      </c>
      <c r="AL43" s="111">
        <v>0</v>
      </c>
      <c r="AM43" s="111">
        <v>0</v>
      </c>
      <c r="AN43" s="111">
        <v>0</v>
      </c>
      <c r="AO43" s="111">
        <v>0</v>
      </c>
      <c r="AP43" s="111">
        <v>0</v>
      </c>
      <c r="AQ43" s="111">
        <v>0</v>
      </c>
      <c r="AR43" s="111">
        <v>0</v>
      </c>
      <c r="AS43" s="111">
        <v>0</v>
      </c>
      <c r="AT43" s="112">
        <v>0</v>
      </c>
    </row>
    <row r="44" spans="2:46" ht="12" customHeight="1" x14ac:dyDescent="0.3">
      <c r="B44" s="110" t="s">
        <v>33</v>
      </c>
      <c r="C44" s="111" t="s">
        <v>39</v>
      </c>
      <c r="D44" s="111" t="s">
        <v>25</v>
      </c>
      <c r="E44" s="111" t="s">
        <v>25</v>
      </c>
      <c r="F44" s="111" t="s">
        <v>25</v>
      </c>
      <c r="G44" s="111" t="s">
        <v>40</v>
      </c>
      <c r="H44" s="111" t="s">
        <v>69</v>
      </c>
      <c r="I44" s="111" t="s">
        <v>25</v>
      </c>
      <c r="J44" s="111">
        <v>0</v>
      </c>
      <c r="K44" s="111">
        <v>0</v>
      </c>
      <c r="L44" s="111">
        <v>0</v>
      </c>
      <c r="M44" s="111">
        <v>0</v>
      </c>
      <c r="N44" s="111">
        <v>0</v>
      </c>
      <c r="O44" s="111">
        <v>0</v>
      </c>
      <c r="P44" s="111">
        <v>0</v>
      </c>
      <c r="Q44" s="111">
        <v>0</v>
      </c>
      <c r="R44" s="111">
        <v>0</v>
      </c>
      <c r="S44" s="111">
        <v>0</v>
      </c>
      <c r="T44" s="111">
        <v>0</v>
      </c>
      <c r="U44" s="111">
        <v>0</v>
      </c>
      <c r="V44" s="111">
        <v>0</v>
      </c>
      <c r="W44" s="111">
        <v>0</v>
      </c>
      <c r="X44" s="111">
        <v>0</v>
      </c>
      <c r="Y44" s="111">
        <v>0</v>
      </c>
      <c r="Z44" s="111">
        <v>0</v>
      </c>
      <c r="AA44" s="111">
        <v>0</v>
      </c>
      <c r="AB44" s="111">
        <v>0</v>
      </c>
      <c r="AC44" s="111">
        <v>0</v>
      </c>
      <c r="AD44" s="111">
        <v>0</v>
      </c>
      <c r="AE44" s="111">
        <v>0</v>
      </c>
      <c r="AF44" s="111">
        <v>0</v>
      </c>
      <c r="AG44" s="111">
        <v>0</v>
      </c>
      <c r="AH44" s="111">
        <v>0</v>
      </c>
      <c r="AI44" s="111">
        <v>0</v>
      </c>
      <c r="AJ44" s="111">
        <v>0</v>
      </c>
      <c r="AK44" s="111">
        <v>0</v>
      </c>
      <c r="AL44" s="111">
        <v>0</v>
      </c>
      <c r="AM44" s="111">
        <v>0</v>
      </c>
      <c r="AN44" s="111">
        <v>0</v>
      </c>
      <c r="AO44" s="111">
        <v>0</v>
      </c>
      <c r="AP44" s="111">
        <v>0</v>
      </c>
      <c r="AQ44" s="111">
        <v>0</v>
      </c>
      <c r="AR44" s="111">
        <v>0</v>
      </c>
      <c r="AS44" s="111">
        <v>0</v>
      </c>
      <c r="AT44" s="112">
        <v>0</v>
      </c>
    </row>
    <row r="45" spans="2:46" ht="12" customHeight="1" x14ac:dyDescent="0.3">
      <c r="B45" s="110" t="s">
        <v>33</v>
      </c>
      <c r="C45" s="111" t="s">
        <v>39</v>
      </c>
      <c r="D45" s="111" t="s">
        <v>25</v>
      </c>
      <c r="E45" s="111" t="s">
        <v>25</v>
      </c>
      <c r="F45" s="111" t="s">
        <v>25</v>
      </c>
      <c r="G45" s="111" t="s">
        <v>38</v>
      </c>
      <c r="H45" s="111" t="s">
        <v>69</v>
      </c>
      <c r="I45" s="111" t="s">
        <v>25</v>
      </c>
      <c r="J45" s="111">
        <v>0</v>
      </c>
      <c r="K45" s="111">
        <v>0</v>
      </c>
      <c r="L45" s="111">
        <v>0</v>
      </c>
      <c r="M45" s="111">
        <v>0</v>
      </c>
      <c r="N45" s="111">
        <v>0</v>
      </c>
      <c r="O45" s="111">
        <v>0</v>
      </c>
      <c r="P45" s="111">
        <v>0</v>
      </c>
      <c r="Q45" s="111">
        <v>0</v>
      </c>
      <c r="R45" s="111">
        <v>0</v>
      </c>
      <c r="S45" s="111">
        <v>0</v>
      </c>
      <c r="T45" s="111">
        <v>0</v>
      </c>
      <c r="U45" s="111">
        <v>0</v>
      </c>
      <c r="V45" s="111">
        <v>0</v>
      </c>
      <c r="W45" s="111">
        <v>0</v>
      </c>
      <c r="X45" s="111">
        <v>0</v>
      </c>
      <c r="Y45" s="111">
        <v>0</v>
      </c>
      <c r="Z45" s="111">
        <v>0</v>
      </c>
      <c r="AA45" s="111">
        <v>0</v>
      </c>
      <c r="AB45" s="111">
        <v>0</v>
      </c>
      <c r="AC45" s="111">
        <v>0</v>
      </c>
      <c r="AD45" s="111">
        <v>0</v>
      </c>
      <c r="AE45" s="111">
        <v>0</v>
      </c>
      <c r="AF45" s="111">
        <v>0</v>
      </c>
      <c r="AG45" s="111">
        <v>0</v>
      </c>
      <c r="AH45" s="111">
        <v>0</v>
      </c>
      <c r="AI45" s="111">
        <v>0</v>
      </c>
      <c r="AJ45" s="111">
        <v>0</v>
      </c>
      <c r="AK45" s="111">
        <v>0</v>
      </c>
      <c r="AL45" s="111">
        <v>0</v>
      </c>
      <c r="AM45" s="111">
        <v>0</v>
      </c>
      <c r="AN45" s="111">
        <v>0</v>
      </c>
      <c r="AO45" s="111">
        <v>0</v>
      </c>
      <c r="AP45" s="111">
        <v>0</v>
      </c>
      <c r="AQ45" s="111">
        <v>0</v>
      </c>
      <c r="AR45" s="111">
        <v>0</v>
      </c>
      <c r="AS45" s="111">
        <v>0</v>
      </c>
      <c r="AT45" s="112">
        <v>0</v>
      </c>
    </row>
    <row r="46" spans="2:46" ht="12" customHeight="1" x14ac:dyDescent="0.3">
      <c r="B46" s="110" t="s">
        <v>33</v>
      </c>
      <c r="C46" s="111" t="s">
        <v>23</v>
      </c>
      <c r="D46" s="111" t="s">
        <v>25</v>
      </c>
      <c r="E46" s="111" t="s">
        <v>25</v>
      </c>
      <c r="F46" s="111" t="s">
        <v>25</v>
      </c>
      <c r="G46" s="111" t="s">
        <v>25</v>
      </c>
      <c r="H46" s="111" t="s">
        <v>69</v>
      </c>
      <c r="I46" s="111" t="s">
        <v>25</v>
      </c>
      <c r="J46" s="111">
        <v>0</v>
      </c>
      <c r="K46" s="111">
        <v>0</v>
      </c>
      <c r="L46" s="111">
        <v>0</v>
      </c>
      <c r="M46" s="111">
        <v>0</v>
      </c>
      <c r="N46" s="111">
        <v>0</v>
      </c>
      <c r="O46" s="111">
        <v>0</v>
      </c>
      <c r="P46" s="111">
        <v>0</v>
      </c>
      <c r="Q46" s="111">
        <v>0</v>
      </c>
      <c r="R46" s="111">
        <v>0</v>
      </c>
      <c r="S46" s="111">
        <v>0</v>
      </c>
      <c r="T46" s="111">
        <v>0</v>
      </c>
      <c r="U46" s="111">
        <v>0</v>
      </c>
      <c r="V46" s="111">
        <v>0</v>
      </c>
      <c r="W46" s="111">
        <v>0</v>
      </c>
      <c r="X46" s="111">
        <v>0</v>
      </c>
      <c r="Y46" s="111">
        <v>0</v>
      </c>
      <c r="Z46" s="111">
        <v>0</v>
      </c>
      <c r="AA46" s="111">
        <v>0</v>
      </c>
      <c r="AB46" s="111">
        <v>0</v>
      </c>
      <c r="AC46" s="111">
        <v>0</v>
      </c>
      <c r="AD46" s="111">
        <v>0</v>
      </c>
      <c r="AE46" s="111">
        <v>0</v>
      </c>
      <c r="AF46" s="111">
        <v>0</v>
      </c>
      <c r="AG46" s="111">
        <v>0</v>
      </c>
      <c r="AH46" s="111">
        <v>0</v>
      </c>
      <c r="AI46" s="111">
        <v>0</v>
      </c>
      <c r="AJ46" s="111">
        <v>0</v>
      </c>
      <c r="AK46" s="111">
        <v>0</v>
      </c>
      <c r="AL46" s="111">
        <v>0</v>
      </c>
      <c r="AM46" s="111">
        <v>0</v>
      </c>
      <c r="AN46" s="111">
        <v>0</v>
      </c>
      <c r="AO46" s="111">
        <v>0</v>
      </c>
      <c r="AP46" s="111">
        <v>0</v>
      </c>
      <c r="AQ46" s="111">
        <v>0</v>
      </c>
      <c r="AR46" s="111">
        <v>0</v>
      </c>
      <c r="AS46" s="111">
        <v>0</v>
      </c>
      <c r="AT46" s="112">
        <v>0</v>
      </c>
    </row>
    <row r="47" spans="2:46" ht="12" customHeight="1" x14ac:dyDescent="0.3">
      <c r="B47" s="110" t="s">
        <v>33</v>
      </c>
      <c r="C47" s="111" t="s">
        <v>84</v>
      </c>
      <c r="D47" s="111" t="s">
        <v>25</v>
      </c>
      <c r="E47" s="111" t="s">
        <v>25</v>
      </c>
      <c r="F47" s="111" t="s">
        <v>25</v>
      </c>
      <c r="G47" s="111" t="s">
        <v>25</v>
      </c>
      <c r="H47" s="111" t="s">
        <v>69</v>
      </c>
      <c r="I47" s="111" t="s">
        <v>25</v>
      </c>
      <c r="J47" s="111">
        <v>0</v>
      </c>
      <c r="K47" s="111">
        <v>0</v>
      </c>
      <c r="L47" s="111">
        <v>0</v>
      </c>
      <c r="M47" s="111">
        <v>0</v>
      </c>
      <c r="N47" s="111">
        <v>0</v>
      </c>
      <c r="O47" s="111">
        <v>0</v>
      </c>
      <c r="P47" s="111">
        <v>0</v>
      </c>
      <c r="Q47" s="111">
        <v>0</v>
      </c>
      <c r="R47" s="111">
        <v>0</v>
      </c>
      <c r="S47" s="111">
        <v>0</v>
      </c>
      <c r="T47" s="111">
        <v>0</v>
      </c>
      <c r="U47" s="111">
        <v>0</v>
      </c>
      <c r="V47" s="111">
        <v>0</v>
      </c>
      <c r="W47" s="111">
        <v>0</v>
      </c>
      <c r="X47" s="111">
        <v>0</v>
      </c>
      <c r="Y47" s="111">
        <v>0</v>
      </c>
      <c r="Z47" s="111">
        <v>0</v>
      </c>
      <c r="AA47" s="111">
        <v>0</v>
      </c>
      <c r="AB47" s="111">
        <v>0</v>
      </c>
      <c r="AC47" s="111">
        <v>0</v>
      </c>
      <c r="AD47" s="111">
        <v>0</v>
      </c>
      <c r="AE47" s="111">
        <v>0</v>
      </c>
      <c r="AF47" s="111">
        <v>0</v>
      </c>
      <c r="AG47" s="111">
        <v>0</v>
      </c>
      <c r="AH47" s="111">
        <v>0</v>
      </c>
      <c r="AI47" s="111">
        <v>0</v>
      </c>
      <c r="AJ47" s="111">
        <v>0</v>
      </c>
      <c r="AK47" s="111">
        <v>0</v>
      </c>
      <c r="AL47" s="111">
        <v>0</v>
      </c>
      <c r="AM47" s="111">
        <v>0</v>
      </c>
      <c r="AN47" s="111">
        <v>0</v>
      </c>
      <c r="AO47" s="111">
        <v>0</v>
      </c>
      <c r="AP47" s="111">
        <v>0</v>
      </c>
      <c r="AQ47" s="111">
        <v>0</v>
      </c>
      <c r="AR47" s="111">
        <v>0</v>
      </c>
      <c r="AS47" s="111">
        <v>0</v>
      </c>
      <c r="AT47" s="112">
        <v>0</v>
      </c>
    </row>
    <row r="48" spans="2:46" ht="12" customHeight="1" x14ac:dyDescent="0.3">
      <c r="B48" s="110" t="s">
        <v>45</v>
      </c>
      <c r="C48" s="111" t="s">
        <v>23</v>
      </c>
      <c r="D48" s="111" t="s">
        <v>46</v>
      </c>
      <c r="E48" s="111" t="s">
        <v>47</v>
      </c>
      <c r="F48" s="111" t="s">
        <v>25</v>
      </c>
      <c r="G48" s="111" t="s">
        <v>25</v>
      </c>
      <c r="H48" s="111" t="s">
        <v>69</v>
      </c>
      <c r="I48" s="111" t="s">
        <v>25</v>
      </c>
      <c r="J48" s="111">
        <v>0</v>
      </c>
      <c r="K48" s="111">
        <v>0</v>
      </c>
      <c r="L48" s="111">
        <v>0</v>
      </c>
      <c r="M48" s="111">
        <v>0</v>
      </c>
      <c r="N48" s="111">
        <v>0</v>
      </c>
      <c r="O48" s="111">
        <v>0</v>
      </c>
      <c r="P48" s="111">
        <v>0</v>
      </c>
      <c r="Q48" s="111">
        <v>0</v>
      </c>
      <c r="R48" s="111">
        <v>0</v>
      </c>
      <c r="S48" s="111">
        <v>0</v>
      </c>
      <c r="T48" s="111">
        <v>0</v>
      </c>
      <c r="U48" s="111">
        <v>0</v>
      </c>
      <c r="V48" s="111">
        <v>0</v>
      </c>
      <c r="W48" s="111">
        <v>0</v>
      </c>
      <c r="X48" s="111">
        <v>0</v>
      </c>
      <c r="Y48" s="111">
        <v>0</v>
      </c>
      <c r="Z48" s="111">
        <v>0</v>
      </c>
      <c r="AA48" s="111">
        <v>0</v>
      </c>
      <c r="AB48" s="111">
        <v>0</v>
      </c>
      <c r="AC48" s="111">
        <v>0</v>
      </c>
      <c r="AD48" s="111">
        <v>0</v>
      </c>
      <c r="AE48" s="111">
        <v>0</v>
      </c>
      <c r="AF48" s="111">
        <v>0</v>
      </c>
      <c r="AG48" s="111">
        <v>0</v>
      </c>
      <c r="AH48" s="111">
        <v>0</v>
      </c>
      <c r="AI48" s="111">
        <v>0</v>
      </c>
      <c r="AJ48" s="111">
        <v>0</v>
      </c>
      <c r="AK48" s="111">
        <v>0</v>
      </c>
      <c r="AL48" s="111">
        <v>0</v>
      </c>
      <c r="AM48" s="111">
        <v>0</v>
      </c>
      <c r="AN48" s="111">
        <v>0</v>
      </c>
      <c r="AO48" s="111">
        <v>0</v>
      </c>
      <c r="AP48" s="111">
        <v>0</v>
      </c>
      <c r="AQ48" s="111">
        <v>0</v>
      </c>
      <c r="AR48" s="111">
        <v>0</v>
      </c>
      <c r="AS48" s="111">
        <v>0</v>
      </c>
      <c r="AT48" s="112">
        <v>0</v>
      </c>
    </row>
    <row r="49" spans="2:46" ht="12" customHeight="1" x14ac:dyDescent="0.3">
      <c r="B49" s="113" t="s">
        <v>45</v>
      </c>
      <c r="C49" s="114" t="s">
        <v>23</v>
      </c>
      <c r="D49" s="114" t="s">
        <v>46</v>
      </c>
      <c r="E49" s="114" t="s">
        <v>87</v>
      </c>
      <c r="F49" s="114" t="s">
        <v>25</v>
      </c>
      <c r="G49" s="114" t="s">
        <v>25</v>
      </c>
      <c r="H49" s="114" t="s">
        <v>69</v>
      </c>
      <c r="I49" s="114" t="s">
        <v>25</v>
      </c>
      <c r="J49" s="114">
        <v>0</v>
      </c>
      <c r="K49" s="114">
        <v>0</v>
      </c>
      <c r="L49" s="114">
        <v>0</v>
      </c>
      <c r="M49" s="114">
        <v>0</v>
      </c>
      <c r="N49" s="114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114">
        <v>0</v>
      </c>
      <c r="V49" s="114">
        <v>0</v>
      </c>
      <c r="W49" s="114">
        <v>0</v>
      </c>
      <c r="X49" s="114">
        <v>0</v>
      </c>
      <c r="Y49" s="114">
        <v>0</v>
      </c>
      <c r="Z49" s="114">
        <v>0</v>
      </c>
      <c r="AA49" s="114">
        <v>0</v>
      </c>
      <c r="AB49" s="114">
        <v>0</v>
      </c>
      <c r="AC49" s="114">
        <v>0</v>
      </c>
      <c r="AD49" s="114">
        <v>0</v>
      </c>
      <c r="AE49" s="114">
        <v>0</v>
      </c>
      <c r="AF49" s="114">
        <v>0</v>
      </c>
      <c r="AG49" s="114">
        <v>0</v>
      </c>
      <c r="AH49" s="114">
        <v>0</v>
      </c>
      <c r="AI49" s="114">
        <v>0</v>
      </c>
      <c r="AJ49" s="114">
        <v>0</v>
      </c>
      <c r="AK49" s="114">
        <v>0</v>
      </c>
      <c r="AL49" s="114">
        <v>0</v>
      </c>
      <c r="AM49" s="114">
        <v>0</v>
      </c>
      <c r="AN49" s="114">
        <v>0</v>
      </c>
      <c r="AO49" s="114">
        <v>0</v>
      </c>
      <c r="AP49" s="114">
        <v>0</v>
      </c>
      <c r="AQ49" s="114">
        <v>0</v>
      </c>
      <c r="AR49" s="114">
        <v>0</v>
      </c>
      <c r="AS49" s="114">
        <v>0</v>
      </c>
      <c r="AT49" s="115">
        <v>0</v>
      </c>
    </row>
  </sheetData>
  <mergeCells count="7">
    <mergeCell ref="L1:AT1"/>
    <mergeCell ref="L2:S2"/>
    <mergeCell ref="T2:Z2"/>
    <mergeCell ref="AB2:AD2"/>
    <mergeCell ref="AE2:AH2"/>
    <mergeCell ref="AI2:AM2"/>
    <mergeCell ref="AO2:AS2"/>
  </mergeCells>
  <phoneticPr fontId="10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25</vt:i4>
      </vt:variant>
    </vt:vector>
  </HeadingPairs>
  <TitlesOfParts>
    <vt:vector size="25" baseType="lpstr">
      <vt:lpstr>Mercado_Receita</vt:lpstr>
      <vt:lpstr>EVENTOS</vt:lpstr>
      <vt:lpstr>TAR FIN</vt:lpstr>
      <vt:lpstr>MERCADO TUSD</vt:lpstr>
      <vt:lpstr>MERCADO TE</vt:lpstr>
      <vt:lpstr>CUSTOS</vt:lpstr>
      <vt:lpstr>TRANSICAO</vt:lpstr>
      <vt:lpstr>TR TUSD</vt:lpstr>
      <vt:lpstr>TUSD BE</vt:lpstr>
      <vt:lpstr>TUSD BF</vt:lpstr>
      <vt:lpstr>TUSD CVA</vt:lpstr>
      <vt:lpstr>TR TE</vt:lpstr>
      <vt:lpstr>TE BE</vt:lpstr>
      <vt:lpstr>TE BF</vt:lpstr>
      <vt:lpstr>TE CVA</vt:lpstr>
      <vt:lpstr>EFEITO</vt:lpstr>
      <vt:lpstr>SUBSIDIO</vt:lpstr>
      <vt:lpstr>TabDinEfeito</vt:lpstr>
      <vt:lpstr>TabDinSubsidio</vt:lpstr>
      <vt:lpstr>TABELAS REH</vt:lpstr>
      <vt:lpstr>Descontos</vt:lpstr>
      <vt:lpstr>ERD</vt:lpstr>
      <vt:lpstr>TA - Aplicação</vt:lpstr>
      <vt:lpstr>TA - BE</vt:lpstr>
      <vt:lpstr>TA - CVA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2022-08-31T12:23:32Z</dcterms:created>
  <dcterms:modified xsi:type="dcterms:W3CDTF">2022-09-16T18:53:02Z</dcterms:modified>
</cp:coreProperties>
</file>